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defaultThemeVersion="124226"/>
  <mc:AlternateContent xmlns:mc="http://schemas.openxmlformats.org/markup-compatibility/2006">
    <mc:Choice Requires="x15">
      <x15ac:absPath xmlns:x15ac="http://schemas.microsoft.com/office/spreadsheetml/2010/11/ac" url="C:\Users\kmbsm\Downloads\"/>
    </mc:Choice>
  </mc:AlternateContent>
  <xr:revisionPtr revIDLastSave="0" documentId="13_ncr:1_{6B4FABB5-D0DC-4353-B90B-37B5AA0A4D07}" xr6:coauthVersionLast="37" xr6:coauthVersionMax="37" xr10:uidLastSave="{00000000-0000-0000-0000-000000000000}"/>
  <bookViews>
    <workbookView xWindow="0" yWindow="0" windowWidth="16410" windowHeight="8790" tabRatio="798" xr2:uid="{00000000-000D-0000-FFFF-FFFF00000000}"/>
  </bookViews>
  <sheets>
    <sheet name="Guidelines" sheetId="68" r:id="rId1"/>
    <sheet name="DATA ENTRY SHEET" sheetId="67" r:id="rId2"/>
    <sheet name="Sample" sheetId="70" r:id="rId3"/>
    <sheet name="References" sheetId="34" r:id="rId4"/>
    <sheet name="Drop downs" sheetId="3" r:id="rId5"/>
  </sheets>
  <definedNames>
    <definedName name="Crop_name">References!$A$3:$A$54</definedName>
    <definedName name="Crops" localSheetId="2">'Drop downs'!#REF!</definedName>
    <definedName name="Crops">'Drop downs'!#REF!</definedName>
    <definedName name="Farm_input">References!$A$58:$A$109</definedName>
    <definedName name="Fertilizer_input">References!$A$60:$A$88</definedName>
    <definedName name="Field_operation">'Drop downs'!$B$19:$B$47</definedName>
    <definedName name="InputNature">'Drop downs'!$B$59:$B$64</definedName>
    <definedName name="Main_crop" localSheetId="1">#REF!</definedName>
    <definedName name="Main_crop" localSheetId="2">#REF!</definedName>
    <definedName name="Main_crop">#REF!</definedName>
    <definedName name="Maincrop">'Drop downs'!$B$15:$B$16</definedName>
    <definedName name="Mech._Operation">'Drop downs'!$B$2:$B$12</definedName>
    <definedName name="Operation">'Drop downs'!$B$2:$B$12</definedName>
    <definedName name="Output">'Drop downs'!$B$50:$B$55</definedName>
    <definedName name="Pesticide_input">References!$A$90:$A$109</definedName>
    <definedName name="Processes">'Drop downs'!$B$2:$B$12</definedName>
  </definedNames>
  <calcPr calcId="162913" calcMode="manual"/>
</workbook>
</file>

<file path=xl/calcChain.xml><?xml version="1.0" encoding="utf-8"?>
<calcChain xmlns="http://schemas.openxmlformats.org/spreadsheetml/2006/main">
  <c r="G72" i="70" l="1"/>
  <c r="BC70" i="70"/>
  <c r="BA70" i="70"/>
  <c r="BB70" i="70" s="1"/>
  <c r="AV70" i="70"/>
  <c r="AX70" i="70" s="1"/>
  <c r="AQ70" i="70"/>
  <c r="AP70" i="70"/>
  <c r="K70" i="70"/>
  <c r="BA69" i="70"/>
  <c r="AW69" i="70"/>
  <c r="AY69" i="70" s="1"/>
  <c r="AV69" i="70"/>
  <c r="AX69" i="70" s="1"/>
  <c r="AQ69" i="70"/>
  <c r="AP69" i="70"/>
  <c r="K69" i="70"/>
  <c r="BA68" i="70"/>
  <c r="BC68" i="70"/>
  <c r="AV68" i="70"/>
  <c r="AQ68" i="70"/>
  <c r="AP68" i="70"/>
  <c r="K68" i="70"/>
  <c r="BC67" i="70"/>
  <c r="BA67" i="70"/>
  <c r="AV67" i="70"/>
  <c r="AQ67" i="70"/>
  <c r="AP67" i="70"/>
  <c r="K67" i="70"/>
  <c r="BA66" i="70"/>
  <c r="BC66" i="70" s="1"/>
  <c r="AV66" i="70"/>
  <c r="AX66" i="70" s="1"/>
  <c r="AW66" i="70"/>
  <c r="AY66" i="70" s="1"/>
  <c r="AQ66" i="70"/>
  <c r="AP66" i="70"/>
  <c r="K66" i="70"/>
  <c r="BB66" i="70" s="1"/>
  <c r="BA65" i="70"/>
  <c r="AV65" i="70"/>
  <c r="AX65" i="70" s="1"/>
  <c r="AQ65" i="70"/>
  <c r="AP65" i="70"/>
  <c r="K65" i="70"/>
  <c r="BA64" i="70"/>
  <c r="BC64" i="70" s="1"/>
  <c r="AV64" i="70"/>
  <c r="AQ64" i="70"/>
  <c r="AP64" i="70"/>
  <c r="K64" i="70"/>
  <c r="BA63" i="70"/>
  <c r="BB63" i="70"/>
  <c r="AV63" i="70"/>
  <c r="AQ63" i="70"/>
  <c r="AP63" i="70"/>
  <c r="K63" i="70"/>
  <c r="BA62" i="70"/>
  <c r="BB62" i="70" s="1"/>
  <c r="AV62" i="70"/>
  <c r="AW62" i="70" s="1"/>
  <c r="AY62" i="70" s="1"/>
  <c r="AQ62" i="70"/>
  <c r="AP62" i="70"/>
  <c r="K62" i="70"/>
  <c r="BC62" i="70"/>
  <c r="BA61" i="70"/>
  <c r="AX61" i="70"/>
  <c r="AW61" i="70"/>
  <c r="AY61" i="70" s="1"/>
  <c r="AV61" i="70"/>
  <c r="AQ61" i="70"/>
  <c r="AP61" i="70"/>
  <c r="K61" i="70"/>
  <c r="BA60" i="70"/>
  <c r="AX60" i="70"/>
  <c r="AW60" i="70"/>
  <c r="AY60" i="70" s="1"/>
  <c r="AV60" i="70"/>
  <c r="AQ60" i="70"/>
  <c r="AP60" i="70"/>
  <c r="K60" i="70"/>
  <c r="BA59" i="70"/>
  <c r="AX59" i="70"/>
  <c r="AW59" i="70"/>
  <c r="AY59" i="70" s="1"/>
  <c r="AV59" i="70"/>
  <c r="AQ59" i="70"/>
  <c r="AQ71" i="70" s="1"/>
  <c r="AP59" i="70"/>
  <c r="AP71" i="70" s="1"/>
  <c r="H71" i="70" s="1"/>
  <c r="K59" i="70"/>
  <c r="BA57" i="70"/>
  <c r="BC57" i="70" s="1"/>
  <c r="AV57" i="70"/>
  <c r="AX57" i="70" s="1"/>
  <c r="AQ57" i="70"/>
  <c r="AP57" i="70"/>
  <c r="K57" i="70"/>
  <c r="BA56" i="70"/>
  <c r="AV56" i="70"/>
  <c r="AX56" i="70" s="1"/>
  <c r="AQ56" i="70"/>
  <c r="AP56" i="70"/>
  <c r="K56" i="70"/>
  <c r="BA55" i="70"/>
  <c r="BC55" i="70" s="1"/>
  <c r="AV55" i="70"/>
  <c r="AQ55" i="70"/>
  <c r="AP55" i="70"/>
  <c r="K55" i="70"/>
  <c r="BA54" i="70"/>
  <c r="AX54" i="70"/>
  <c r="AW54" i="70"/>
  <c r="AY54" i="70"/>
  <c r="AV54" i="70"/>
  <c r="AQ54" i="70"/>
  <c r="AP54" i="70"/>
  <c r="K54" i="70"/>
  <c r="BA53" i="70"/>
  <c r="AX53" i="70"/>
  <c r="AW53" i="70"/>
  <c r="AY53" i="70" s="1"/>
  <c r="AV53" i="70"/>
  <c r="AQ53" i="70"/>
  <c r="AP53" i="70"/>
  <c r="K53" i="70"/>
  <c r="BA52" i="70"/>
  <c r="AW52" i="70"/>
  <c r="AY52" i="70"/>
  <c r="AV52" i="70"/>
  <c r="AX52" i="70" s="1"/>
  <c r="AQ52" i="70"/>
  <c r="AP52" i="70"/>
  <c r="K52" i="70"/>
  <c r="BA51" i="70"/>
  <c r="AW51" i="70"/>
  <c r="AY51" i="70"/>
  <c r="AV51" i="70"/>
  <c r="AX51" i="70" s="1"/>
  <c r="AQ51" i="70"/>
  <c r="AP51" i="70"/>
  <c r="K51" i="70"/>
  <c r="BA50" i="70"/>
  <c r="BB50" i="70" s="1"/>
  <c r="AV50" i="70"/>
  <c r="AQ50" i="70"/>
  <c r="AP50" i="70"/>
  <c r="K50" i="70"/>
  <c r="BC50" i="70" s="1"/>
  <c r="BA49" i="70"/>
  <c r="BB49" i="70" s="1"/>
  <c r="AV49" i="70"/>
  <c r="AQ49" i="70"/>
  <c r="AP49" i="70"/>
  <c r="K49" i="70"/>
  <c r="BC49" i="70"/>
  <c r="BA48" i="70"/>
  <c r="AV48" i="70"/>
  <c r="AW48" i="70" s="1"/>
  <c r="AY48" i="70" s="1"/>
  <c r="AQ48" i="70"/>
  <c r="AP48" i="70"/>
  <c r="K48" i="70"/>
  <c r="BA47" i="70"/>
  <c r="BC47" i="70" s="1"/>
  <c r="AV47" i="70"/>
  <c r="AQ47" i="70"/>
  <c r="AP47" i="70"/>
  <c r="K47" i="70"/>
  <c r="BB47" i="70" s="1"/>
  <c r="BC46" i="70"/>
  <c r="BA46" i="70"/>
  <c r="AX46" i="70"/>
  <c r="AW46" i="70"/>
  <c r="AY46" i="70" s="1"/>
  <c r="AV46" i="70"/>
  <c r="AQ46" i="70"/>
  <c r="AQ58" i="70" s="1"/>
  <c r="AP46" i="70"/>
  <c r="AP58" i="70" s="1"/>
  <c r="K46" i="70"/>
  <c r="G45" i="70"/>
  <c r="BA44" i="70"/>
  <c r="AV44" i="70"/>
  <c r="AX44" i="70" s="1"/>
  <c r="AQ44" i="70"/>
  <c r="AP44" i="70"/>
  <c r="K44" i="70"/>
  <c r="BA43" i="70"/>
  <c r="BC43" i="70" s="1"/>
  <c r="AX43" i="70"/>
  <c r="AV43" i="70"/>
  <c r="AW43" i="70"/>
  <c r="AY43" i="70"/>
  <c r="AQ43" i="70"/>
  <c r="AP43" i="70"/>
  <c r="K43" i="70"/>
  <c r="BB43" i="70" s="1"/>
  <c r="BA42" i="70"/>
  <c r="BC42" i="70" s="1"/>
  <c r="AV42" i="70"/>
  <c r="AQ42" i="70"/>
  <c r="AP42" i="70"/>
  <c r="K42" i="70"/>
  <c r="BA41" i="70"/>
  <c r="BB41" i="70" s="1"/>
  <c r="AV41" i="70"/>
  <c r="AX41" i="70" s="1"/>
  <c r="AQ41" i="70"/>
  <c r="AP41" i="70"/>
  <c r="K41" i="70"/>
  <c r="BC40" i="70"/>
  <c r="BA40" i="70"/>
  <c r="BB40" i="70" s="1"/>
  <c r="AV40" i="70"/>
  <c r="AX40" i="70" s="1"/>
  <c r="AQ40" i="70"/>
  <c r="AP40" i="70"/>
  <c r="K40" i="70"/>
  <c r="BA39" i="70"/>
  <c r="AV39" i="70"/>
  <c r="AQ39" i="70"/>
  <c r="AP39" i="70"/>
  <c r="K39" i="70"/>
  <c r="BC39" i="70" s="1"/>
  <c r="BA38" i="70"/>
  <c r="AV38" i="70"/>
  <c r="AX38" i="70" s="1"/>
  <c r="AQ38" i="70"/>
  <c r="AQ45" i="70"/>
  <c r="AP38" i="70"/>
  <c r="AP45" i="70" s="1"/>
  <c r="K38" i="70"/>
  <c r="Z32" i="70"/>
  <c r="Y32" i="70"/>
  <c r="W32" i="70"/>
  <c r="V32" i="70"/>
  <c r="T32" i="70"/>
  <c r="S32" i="70"/>
  <c r="R32" i="70"/>
  <c r="K32" i="70"/>
  <c r="J32" i="70"/>
  <c r="H32" i="70"/>
  <c r="G32" i="70"/>
  <c r="F32" i="70"/>
  <c r="C32" i="70"/>
  <c r="B32" i="70"/>
  <c r="A32" i="70"/>
  <c r="EK31" i="70"/>
  <c r="EL31" i="70" s="1"/>
  <c r="EG31" i="70"/>
  <c r="EC31" i="70"/>
  <c r="DY31" i="70"/>
  <c r="DU31" i="70"/>
  <c r="DQ31" i="70"/>
  <c r="DM31" i="70"/>
  <c r="BT31" i="70" s="1"/>
  <c r="CM31" i="70" s="1"/>
  <c r="DI31" i="70"/>
  <c r="DE31" i="70"/>
  <c r="DA31" i="70"/>
  <c r="CW31" i="70"/>
  <c r="CN31" i="70"/>
  <c r="CQ31" i="70" s="1"/>
  <c r="BZ31" i="70"/>
  <c r="CF31" i="70" s="1"/>
  <c r="BW31" i="70"/>
  <c r="BV31" i="70"/>
  <c r="BY31" i="70"/>
  <c r="CE31" i="70" s="1"/>
  <c r="BU31" i="70"/>
  <c r="BX31" i="70" s="1"/>
  <c r="CD31" i="70" s="1"/>
  <c r="BN31" i="70"/>
  <c r="BO31" i="70"/>
  <c r="BP31" i="70" s="1"/>
  <c r="BG31" i="70"/>
  <c r="AV31" i="70"/>
  <c r="BF31" i="70" s="1"/>
  <c r="AU31" i="70"/>
  <c r="AO31" i="70"/>
  <c r="AN31" i="70"/>
  <c r="AM31" i="70"/>
  <c r="AL31" i="70"/>
  <c r="AK31" i="70"/>
  <c r="AJ31" i="70"/>
  <c r="AZ31" i="70" s="1"/>
  <c r="AI31" i="70"/>
  <c r="AH31" i="70"/>
  <c r="AG31" i="70"/>
  <c r="AF31" i="70"/>
  <c r="AD31" i="70"/>
  <c r="AC31" i="70"/>
  <c r="AB31" i="70"/>
  <c r="U31" i="70"/>
  <c r="N31" i="70"/>
  <c r="AE31" i="70" s="1"/>
  <c r="EQ30" i="70"/>
  <c r="EP30" i="70"/>
  <c r="EO30" i="70"/>
  <c r="EN30" i="70"/>
  <c r="EK30" i="70"/>
  <c r="EL30" i="70" s="1"/>
  <c r="EG30" i="70"/>
  <c r="EC30" i="70"/>
  <c r="DY30" i="70"/>
  <c r="EB30" i="70" s="1"/>
  <c r="DW30" i="70"/>
  <c r="DV30" i="70"/>
  <c r="DU30" i="70"/>
  <c r="DQ30" i="70"/>
  <c r="DR30" i="70" s="1"/>
  <c r="DM30" i="70"/>
  <c r="DK30" i="70"/>
  <c r="DI30" i="70"/>
  <c r="DL30" i="70"/>
  <c r="DE30" i="70"/>
  <c r="DA30" i="70"/>
  <c r="DB30" i="70"/>
  <c r="CW30" i="70"/>
  <c r="BT30" i="70" s="1"/>
  <c r="CM30" i="70" s="1"/>
  <c r="CN30" i="70"/>
  <c r="BW30" i="70"/>
  <c r="BZ30" i="70" s="1"/>
  <c r="CF30" i="70" s="1"/>
  <c r="BV30" i="70"/>
  <c r="BY30" i="70" s="1"/>
  <c r="CE30" i="70" s="1"/>
  <c r="BU30" i="70"/>
  <c r="BX30" i="70" s="1"/>
  <c r="CD30" i="70" s="1"/>
  <c r="BN30" i="70"/>
  <c r="BO30" i="70" s="1"/>
  <c r="BP30" i="70" s="1"/>
  <c r="BG30" i="70"/>
  <c r="AV30" i="70"/>
  <c r="BF30" i="70" s="1"/>
  <c r="AU30" i="70"/>
  <c r="AO30" i="70"/>
  <c r="AN30" i="70"/>
  <c r="AM30" i="70"/>
  <c r="AL30" i="70"/>
  <c r="AK30" i="70"/>
  <c r="AJ30" i="70"/>
  <c r="AZ30" i="70" s="1"/>
  <c r="AI30" i="70"/>
  <c r="AH30" i="70"/>
  <c r="AG30" i="70"/>
  <c r="AF30" i="70"/>
  <c r="AD30" i="70"/>
  <c r="AC30" i="70"/>
  <c r="AB30" i="70"/>
  <c r="U30" i="70"/>
  <c r="EI30" i="70"/>
  <c r="N30" i="70"/>
  <c r="M30" i="70"/>
  <c r="EQ29" i="70"/>
  <c r="EP29" i="70"/>
  <c r="EO29" i="70"/>
  <c r="EN29" i="70"/>
  <c r="EL29" i="70"/>
  <c r="EK29" i="70"/>
  <c r="EG29" i="70"/>
  <c r="ED29" i="70"/>
  <c r="EC29" i="70"/>
  <c r="DY29" i="70"/>
  <c r="DV29" i="70"/>
  <c r="DU29" i="70"/>
  <c r="DQ29" i="70"/>
  <c r="DM29" i="70"/>
  <c r="DN29" i="70" s="1"/>
  <c r="DI29" i="70"/>
  <c r="DE29" i="70"/>
  <c r="DF29" i="70" s="1"/>
  <c r="DA29" i="70"/>
  <c r="CM29" i="70"/>
  <c r="CW29" i="70"/>
  <c r="BT29" i="70" s="1"/>
  <c r="CQ29" i="70"/>
  <c r="CN29" i="70"/>
  <c r="CO29" i="70"/>
  <c r="CP29" i="70" s="1"/>
  <c r="BW29" i="70"/>
  <c r="BZ29" i="70" s="1"/>
  <c r="CF29" i="70" s="1"/>
  <c r="BV29" i="70"/>
  <c r="BY29" i="70" s="1"/>
  <c r="CE29" i="70" s="1"/>
  <c r="BU29" i="70"/>
  <c r="BX29" i="70" s="1"/>
  <c r="CD29" i="70" s="1"/>
  <c r="BN29" i="70"/>
  <c r="BO29" i="70"/>
  <c r="BP29" i="70"/>
  <c r="AV29" i="70"/>
  <c r="AU29" i="70"/>
  <c r="AO29" i="70"/>
  <c r="AN29" i="70"/>
  <c r="AM29" i="70"/>
  <c r="AL29" i="70"/>
  <c r="AK29" i="70"/>
  <c r="AJ29" i="70"/>
  <c r="AZ29" i="70" s="1"/>
  <c r="AI29" i="70"/>
  <c r="AH29" i="70"/>
  <c r="AG29" i="70"/>
  <c r="AF29" i="70"/>
  <c r="AD29" i="70"/>
  <c r="AC29" i="70"/>
  <c r="AB29" i="70"/>
  <c r="U29" i="70"/>
  <c r="N29" i="70"/>
  <c r="AE29" i="70"/>
  <c r="M29" i="70"/>
  <c r="EQ28" i="70"/>
  <c r="EP28" i="70"/>
  <c r="EO28" i="70"/>
  <c r="EN28" i="70"/>
  <c r="EK28" i="70"/>
  <c r="EH28" i="70"/>
  <c r="EG28" i="70"/>
  <c r="EC28" i="70"/>
  <c r="ED28" i="70" s="1"/>
  <c r="DY28" i="70"/>
  <c r="DZ28" i="70" s="1"/>
  <c r="DU28" i="70"/>
  <c r="DR28" i="70"/>
  <c r="DQ28" i="70"/>
  <c r="DN28" i="70"/>
  <c r="DM28" i="70"/>
  <c r="DO28" i="70" s="1"/>
  <c r="DK28" i="70"/>
  <c r="DI28" i="70"/>
  <c r="DG28" i="70"/>
  <c r="DE28" i="70"/>
  <c r="DF28" i="70" s="1"/>
  <c r="DA28" i="70"/>
  <c r="BS28" i="70" s="1"/>
  <c r="CC28" i="70" s="1"/>
  <c r="CW28" i="70"/>
  <c r="CN28" i="70"/>
  <c r="CQ28" i="70" s="1"/>
  <c r="BZ28" i="70"/>
  <c r="CF28" i="70" s="1"/>
  <c r="BY28" i="70"/>
  <c r="CE28" i="70" s="1"/>
  <c r="BW28" i="70"/>
  <c r="BV28" i="70"/>
  <c r="BU28" i="70"/>
  <c r="BX28" i="70"/>
  <c r="CD28" i="70" s="1"/>
  <c r="BN28" i="70"/>
  <c r="BO28" i="70" s="1"/>
  <c r="BP28" i="70" s="1"/>
  <c r="AV28" i="70"/>
  <c r="BF28" i="70" s="1"/>
  <c r="AU28" i="70"/>
  <c r="AO28" i="70"/>
  <c r="AN28" i="70"/>
  <c r="AM28" i="70"/>
  <c r="AL28" i="70"/>
  <c r="AK28" i="70"/>
  <c r="AJ28" i="70"/>
  <c r="AZ28" i="70" s="1"/>
  <c r="AI28" i="70"/>
  <c r="AH28" i="70"/>
  <c r="AG28" i="70"/>
  <c r="AF28" i="70"/>
  <c r="AD28" i="70"/>
  <c r="EJ28" i="70" s="1"/>
  <c r="AC28" i="70"/>
  <c r="AB28" i="70"/>
  <c r="U28" i="70"/>
  <c r="EL28" i="70" s="1"/>
  <c r="EI28" i="70"/>
  <c r="N28" i="70"/>
  <c r="DV28" i="70" s="1"/>
  <c r="M28" i="70"/>
  <c r="EQ27" i="70"/>
  <c r="EP27" i="70"/>
  <c r="EO27" i="70"/>
  <c r="EN27" i="70"/>
  <c r="EK27" i="70"/>
  <c r="EL27" i="70" s="1"/>
  <c r="EG27" i="70"/>
  <c r="EC27" i="70"/>
  <c r="EF27" i="70" s="1"/>
  <c r="DY27" i="70"/>
  <c r="EB27" i="70" s="1"/>
  <c r="DU27" i="70"/>
  <c r="DW27" i="70" s="1"/>
  <c r="DQ27" i="70"/>
  <c r="DM27" i="70"/>
  <c r="BR27" i="70" s="1"/>
  <c r="DI27" i="70"/>
  <c r="DL27" i="70" s="1"/>
  <c r="DG27" i="70"/>
  <c r="DE27" i="70"/>
  <c r="DA27" i="70"/>
  <c r="CZ27" i="70"/>
  <c r="CW27" i="70"/>
  <c r="CN27" i="70"/>
  <c r="BX27" i="70"/>
  <c r="CD27" i="70" s="1"/>
  <c r="BW27" i="70"/>
  <c r="BZ27" i="70"/>
  <c r="CF27" i="70" s="1"/>
  <c r="BV27" i="70"/>
  <c r="BY27" i="70"/>
  <c r="CE27" i="70"/>
  <c r="BU27" i="70"/>
  <c r="BS27" i="70"/>
  <c r="CC27" i="70" s="1"/>
  <c r="CB27" i="70"/>
  <c r="BN27" i="70"/>
  <c r="BO27" i="70"/>
  <c r="BP27" i="70"/>
  <c r="AV27" i="70"/>
  <c r="AU27" i="70"/>
  <c r="AO27" i="70"/>
  <c r="AN27" i="70"/>
  <c r="AM27" i="70"/>
  <c r="AL27" i="70"/>
  <c r="AK27" i="70"/>
  <c r="AJ27" i="70"/>
  <c r="AZ27" i="70" s="1"/>
  <c r="AI27" i="70"/>
  <c r="AH27" i="70"/>
  <c r="AG27" i="70"/>
  <c r="AF27" i="70"/>
  <c r="AD27" i="70"/>
  <c r="AC27" i="70"/>
  <c r="AB27" i="70"/>
  <c r="U27" i="70"/>
  <c r="CY27" i="70" s="1"/>
  <c r="N27" i="70"/>
  <c r="M27" i="70"/>
  <c r="EQ26" i="70"/>
  <c r="EP26" i="70"/>
  <c r="EO26" i="70"/>
  <c r="EN26" i="70"/>
  <c r="EK26" i="70"/>
  <c r="EG26" i="70"/>
  <c r="EJ26" i="70" s="1"/>
  <c r="EC26" i="70"/>
  <c r="DY26" i="70"/>
  <c r="EB26" i="70" s="1"/>
  <c r="DU26" i="70"/>
  <c r="DQ26" i="70"/>
  <c r="DT26" i="70" s="1"/>
  <c r="DM26" i="70"/>
  <c r="DL26" i="70"/>
  <c r="DI26" i="70"/>
  <c r="DE26" i="70"/>
  <c r="DD26" i="70"/>
  <c r="DA26" i="70"/>
  <c r="CW26" i="70"/>
  <c r="BS26" i="70"/>
  <c r="CC26" i="70" s="1"/>
  <c r="CQ26" i="70"/>
  <c r="CN26" i="70"/>
  <c r="CO26" i="70" s="1"/>
  <c r="CE26" i="70"/>
  <c r="BW26" i="70"/>
  <c r="BZ26" i="70"/>
  <c r="CF26" i="70" s="1"/>
  <c r="BV26" i="70"/>
  <c r="BY26" i="70" s="1"/>
  <c r="BU26" i="70"/>
  <c r="BX26" i="70" s="1"/>
  <c r="CD26" i="70" s="1"/>
  <c r="BN26" i="70"/>
  <c r="BO26" i="70" s="1"/>
  <c r="BP26" i="70" s="1"/>
  <c r="AV26" i="70"/>
  <c r="BG26" i="70"/>
  <c r="AU26" i="70"/>
  <c r="AO26" i="70"/>
  <c r="AN26" i="70"/>
  <c r="AM26" i="70"/>
  <c r="AL26" i="70"/>
  <c r="AK26" i="70"/>
  <c r="AJ26" i="70"/>
  <c r="AZ26" i="70"/>
  <c r="AI26" i="70"/>
  <c r="AH26" i="70"/>
  <c r="AG26" i="70"/>
  <c r="AF26" i="70"/>
  <c r="AD26" i="70"/>
  <c r="AC26" i="70"/>
  <c r="AB26" i="70"/>
  <c r="U26" i="70"/>
  <c r="N26" i="70"/>
  <c r="M26" i="70"/>
  <c r="EQ25" i="70"/>
  <c r="EP25" i="70"/>
  <c r="EO25" i="70"/>
  <c r="EN25" i="70"/>
  <c r="EK25" i="70"/>
  <c r="EG25" i="70"/>
  <c r="EH25" i="70" s="1"/>
  <c r="EC25" i="70"/>
  <c r="DY25" i="70"/>
  <c r="DZ25" i="70"/>
  <c r="DU25" i="70"/>
  <c r="DQ25" i="70"/>
  <c r="DR25" i="70" s="1"/>
  <c r="DM25" i="70"/>
  <c r="BQ25" i="70" s="1"/>
  <c r="DI25" i="70"/>
  <c r="DJ25" i="70"/>
  <c r="DE25" i="70"/>
  <c r="DA25" i="70"/>
  <c r="DB25" i="70"/>
  <c r="CW25" i="70"/>
  <c r="CN25" i="70"/>
  <c r="CQ25" i="70" s="1"/>
  <c r="CO25" i="70"/>
  <c r="BW25" i="70"/>
  <c r="BZ25" i="70" s="1"/>
  <c r="CF25" i="70" s="1"/>
  <c r="BV25" i="70"/>
  <c r="BY25" i="70" s="1"/>
  <c r="CE25" i="70" s="1"/>
  <c r="BU25" i="70"/>
  <c r="BX25" i="70" s="1"/>
  <c r="CD25" i="70" s="1"/>
  <c r="CA25" i="70"/>
  <c r="BN25" i="70"/>
  <c r="BO25" i="70"/>
  <c r="BP25" i="70" s="1"/>
  <c r="AV25" i="70"/>
  <c r="BG25" i="70" s="1"/>
  <c r="AU25" i="70"/>
  <c r="AO25" i="70"/>
  <c r="AN25" i="70"/>
  <c r="AM25" i="70"/>
  <c r="AL25" i="70"/>
  <c r="AK25" i="70"/>
  <c r="AJ25" i="70"/>
  <c r="AZ25" i="70"/>
  <c r="AI25" i="70"/>
  <c r="AH25" i="70"/>
  <c r="AG25" i="70"/>
  <c r="AF25" i="70"/>
  <c r="AD25" i="70"/>
  <c r="AC25" i="70"/>
  <c r="AB25" i="70"/>
  <c r="U25" i="70"/>
  <c r="EL25" i="70" s="1"/>
  <c r="N25" i="70"/>
  <c r="M25" i="70"/>
  <c r="EQ24" i="70"/>
  <c r="EP24" i="70"/>
  <c r="EO24" i="70"/>
  <c r="EN24" i="70"/>
  <c r="EK24" i="70"/>
  <c r="EL24" i="70" s="1"/>
  <c r="EG24" i="70"/>
  <c r="EI24" i="70" s="1"/>
  <c r="EE24" i="70"/>
  <c r="EC24" i="70"/>
  <c r="ED24" i="70" s="1"/>
  <c r="DY24" i="70"/>
  <c r="DU24" i="70"/>
  <c r="DW24" i="70" s="1"/>
  <c r="DS24" i="70"/>
  <c r="DQ24" i="70"/>
  <c r="DM24" i="70"/>
  <c r="DO24" i="70" s="1"/>
  <c r="DK24" i="70"/>
  <c r="DJ24" i="70"/>
  <c r="DI24" i="70"/>
  <c r="DE24" i="70"/>
  <c r="DG24" i="70" s="1"/>
  <c r="DA24" i="70"/>
  <c r="DC24" i="70" s="1"/>
  <c r="CW24" i="70"/>
  <c r="CN24" i="70"/>
  <c r="CO24" i="70"/>
  <c r="BW24" i="70"/>
  <c r="BZ24" i="70" s="1"/>
  <c r="CF24" i="70" s="1"/>
  <c r="BV24" i="70"/>
  <c r="BY24" i="70" s="1"/>
  <c r="CE24" i="70" s="1"/>
  <c r="BU24" i="70"/>
  <c r="BX24" i="70" s="1"/>
  <c r="CD24" i="70" s="1"/>
  <c r="BN24" i="70"/>
  <c r="BO24" i="70"/>
  <c r="BP24" i="70"/>
  <c r="AZ24" i="70"/>
  <c r="AV24" i="70"/>
  <c r="BF24" i="70"/>
  <c r="AU24" i="70"/>
  <c r="AO24" i="70"/>
  <c r="AN24" i="70"/>
  <c r="AM24" i="70"/>
  <c r="AL24" i="70"/>
  <c r="AK24" i="70"/>
  <c r="AJ24" i="70"/>
  <c r="AI24" i="70"/>
  <c r="AH24" i="70"/>
  <c r="AG24" i="70"/>
  <c r="AF24" i="70"/>
  <c r="AD24" i="70"/>
  <c r="AC24" i="70"/>
  <c r="AB24" i="70"/>
  <c r="U24" i="70"/>
  <c r="N24" i="70"/>
  <c r="M24" i="70"/>
  <c r="EQ23" i="70"/>
  <c r="EP23" i="70"/>
  <c r="EO23" i="70"/>
  <c r="EN23" i="70"/>
  <c r="EK23" i="70"/>
  <c r="EG23" i="70"/>
  <c r="EJ23" i="70" s="1"/>
  <c r="EH23" i="70"/>
  <c r="EC23" i="70"/>
  <c r="EE23" i="70" s="1"/>
  <c r="ED23" i="70"/>
  <c r="DY23" i="70"/>
  <c r="EB23" i="70" s="1"/>
  <c r="DU23" i="70"/>
  <c r="DQ23" i="70"/>
  <c r="DS23" i="70" s="1"/>
  <c r="DR23" i="70"/>
  <c r="DM23" i="70"/>
  <c r="BR23" i="70" s="1"/>
  <c r="CB23" i="70" s="1"/>
  <c r="DI23" i="70"/>
  <c r="DL23" i="70" s="1"/>
  <c r="DE23" i="70"/>
  <c r="DH23" i="70" s="1"/>
  <c r="DA23" i="70"/>
  <c r="CW23" i="70"/>
  <c r="CN23" i="70"/>
  <c r="CE23" i="70"/>
  <c r="BX23" i="70"/>
  <c r="CD23" i="70" s="1"/>
  <c r="BW23" i="70"/>
  <c r="BZ23" i="70" s="1"/>
  <c r="CF23" i="70" s="1"/>
  <c r="BV23" i="70"/>
  <c r="BY23" i="70"/>
  <c r="BU23" i="70"/>
  <c r="BN23" i="70"/>
  <c r="BO23" i="70"/>
  <c r="BP23" i="70" s="1"/>
  <c r="AV23" i="70"/>
  <c r="BG23" i="70" s="1"/>
  <c r="AU23" i="70"/>
  <c r="AO23" i="70"/>
  <c r="AN23" i="70"/>
  <c r="AM23" i="70"/>
  <c r="AL23" i="70"/>
  <c r="AK23" i="70"/>
  <c r="AJ23" i="70"/>
  <c r="AZ23" i="70" s="1"/>
  <c r="AI23" i="70"/>
  <c r="AH23" i="70"/>
  <c r="AG23" i="70"/>
  <c r="AF23" i="70"/>
  <c r="AD23" i="70"/>
  <c r="AC23" i="70"/>
  <c r="AB23" i="70"/>
  <c r="U23" i="70"/>
  <c r="AE23" i="70" s="1"/>
  <c r="BB23" i="70" s="1"/>
  <c r="EA23" i="70"/>
  <c r="N23" i="70"/>
  <c r="M23" i="70"/>
  <c r="EQ22" i="70"/>
  <c r="EP22" i="70"/>
  <c r="EO22" i="70"/>
  <c r="EN22" i="70"/>
  <c r="EK22" i="70"/>
  <c r="EG22" i="70"/>
  <c r="EJ22" i="70" s="1"/>
  <c r="EC22" i="70"/>
  <c r="DY22" i="70"/>
  <c r="EB22" i="70"/>
  <c r="DU22" i="70"/>
  <c r="DX22" i="70" s="1"/>
  <c r="DQ22" i="70"/>
  <c r="DT22" i="70"/>
  <c r="DM22" i="70"/>
  <c r="DI22" i="70"/>
  <c r="DL22" i="70"/>
  <c r="DH22" i="70"/>
  <c r="DE22" i="70"/>
  <c r="DA22" i="70"/>
  <c r="DD22" i="70"/>
  <c r="CW22" i="70"/>
  <c r="BS22" i="70"/>
  <c r="CC22" i="70" s="1"/>
  <c r="CQ22" i="70"/>
  <c r="CO22" i="70"/>
  <c r="CR22" i="70" s="1"/>
  <c r="CN22" i="70"/>
  <c r="CE22" i="70"/>
  <c r="BY22" i="70"/>
  <c r="BX22" i="70"/>
  <c r="CD22" i="70" s="1"/>
  <c r="BW22" i="70"/>
  <c r="BZ22" i="70"/>
  <c r="CF22" i="70" s="1"/>
  <c r="BV22" i="70"/>
  <c r="BU22" i="70"/>
  <c r="BN22" i="70"/>
  <c r="BO22" i="70" s="1"/>
  <c r="BP22" i="70" s="1"/>
  <c r="AV22" i="70"/>
  <c r="BF22" i="70" s="1"/>
  <c r="AU22" i="70"/>
  <c r="AO22" i="70"/>
  <c r="AN22" i="70"/>
  <c r="AM22" i="70"/>
  <c r="AL22" i="70"/>
  <c r="AK22" i="70"/>
  <c r="AJ22" i="70"/>
  <c r="AZ22" i="70" s="1"/>
  <c r="AI22" i="70"/>
  <c r="AH22" i="70"/>
  <c r="AG22" i="70"/>
  <c r="AF22" i="70"/>
  <c r="AD22" i="70"/>
  <c r="AC22" i="70"/>
  <c r="AB22" i="70"/>
  <c r="U22" i="70"/>
  <c r="EL22" i="70" s="1"/>
  <c r="AE22" i="70"/>
  <c r="N22" i="70"/>
  <c r="M22" i="70"/>
  <c r="EQ21" i="70"/>
  <c r="EP21" i="70"/>
  <c r="EO21" i="70"/>
  <c r="EN21" i="70"/>
  <c r="EK21" i="70"/>
  <c r="EG21" i="70"/>
  <c r="EC21" i="70"/>
  <c r="ED21" i="70" s="1"/>
  <c r="DY21" i="70"/>
  <c r="DV21" i="70"/>
  <c r="DU21" i="70"/>
  <c r="DQ21" i="70"/>
  <c r="DN21" i="70"/>
  <c r="DM21" i="70"/>
  <c r="DI21" i="70"/>
  <c r="DF21" i="70"/>
  <c r="DE21" i="70"/>
  <c r="DA21" i="70"/>
  <c r="CX21" i="70"/>
  <c r="CW21" i="70"/>
  <c r="CN21" i="70"/>
  <c r="CO21" i="70" s="1"/>
  <c r="CR21" i="70" s="1"/>
  <c r="BZ21" i="70"/>
  <c r="CF21" i="70" s="1"/>
  <c r="BY21" i="70"/>
  <c r="CE21" i="70" s="1"/>
  <c r="BX21" i="70"/>
  <c r="CD21" i="70"/>
  <c r="BW21" i="70"/>
  <c r="BV21" i="70"/>
  <c r="BU21" i="70"/>
  <c r="BN21" i="70"/>
  <c r="BO21" i="70"/>
  <c r="BP21" i="70"/>
  <c r="AV21" i="70"/>
  <c r="BG21" i="70" s="1"/>
  <c r="BF21" i="70"/>
  <c r="AU21" i="70"/>
  <c r="AO21" i="70"/>
  <c r="AN21" i="70"/>
  <c r="AM21" i="70"/>
  <c r="AL21" i="70"/>
  <c r="AK21" i="70"/>
  <c r="AJ21" i="70"/>
  <c r="AZ21" i="70"/>
  <c r="AI21" i="70"/>
  <c r="AH21" i="70"/>
  <c r="AG21" i="70"/>
  <c r="AF21" i="70"/>
  <c r="AD21" i="70"/>
  <c r="AC21" i="70"/>
  <c r="AB21" i="70"/>
  <c r="U21" i="70"/>
  <c r="N21" i="70"/>
  <c r="AE21" i="70"/>
  <c r="M21" i="70"/>
  <c r="EQ20" i="70"/>
  <c r="EP20" i="70"/>
  <c r="EO20" i="70"/>
  <c r="EN20" i="70"/>
  <c r="EK20" i="70"/>
  <c r="EG20" i="70"/>
  <c r="EC20" i="70"/>
  <c r="DY20" i="70"/>
  <c r="DZ20" i="70" s="1"/>
  <c r="DU20" i="70"/>
  <c r="DQ20" i="70"/>
  <c r="DM20" i="70"/>
  <c r="DI20" i="70"/>
  <c r="DE20" i="70"/>
  <c r="DA20" i="70"/>
  <c r="CW20" i="70"/>
  <c r="CO20" i="70"/>
  <c r="CN20" i="70"/>
  <c r="CQ20" i="70" s="1"/>
  <c r="CD20" i="70"/>
  <c r="CF20" i="70"/>
  <c r="BW20" i="70"/>
  <c r="BZ20" i="70" s="1"/>
  <c r="BV20" i="70"/>
  <c r="BY20" i="70" s="1"/>
  <c r="CE20" i="70" s="1"/>
  <c r="BU20" i="70"/>
  <c r="BX20" i="70"/>
  <c r="BN20" i="70"/>
  <c r="BO20" i="70" s="1"/>
  <c r="BP20" i="70" s="1"/>
  <c r="BF20" i="70"/>
  <c r="AV20" i="70"/>
  <c r="AU20" i="70"/>
  <c r="AO20" i="70"/>
  <c r="AN20" i="70"/>
  <c r="AM20" i="70"/>
  <c r="AL20" i="70"/>
  <c r="AK20" i="70"/>
  <c r="AJ20" i="70"/>
  <c r="AZ20" i="70" s="1"/>
  <c r="AI20" i="70"/>
  <c r="AH20" i="70"/>
  <c r="AG20" i="70"/>
  <c r="AF20" i="70"/>
  <c r="AD20" i="70"/>
  <c r="EJ20" i="70" s="1"/>
  <c r="AC20" i="70"/>
  <c r="AB20" i="70"/>
  <c r="U20" i="70"/>
  <c r="DG20" i="70" s="1"/>
  <c r="N20" i="70"/>
  <c r="EH20" i="70" s="1"/>
  <c r="M20" i="70"/>
  <c r="EQ19" i="70"/>
  <c r="EP19" i="70"/>
  <c r="EO19" i="70"/>
  <c r="EN19" i="70"/>
  <c r="EK19" i="70"/>
  <c r="EG19" i="70"/>
  <c r="EC19" i="70"/>
  <c r="EE19" i="70" s="1"/>
  <c r="EA19" i="70"/>
  <c r="DY19" i="70"/>
  <c r="DW19" i="70"/>
  <c r="DU19" i="70"/>
  <c r="DQ19" i="70"/>
  <c r="DM19" i="70"/>
  <c r="DK19" i="70"/>
  <c r="DI19" i="70"/>
  <c r="DG19" i="70"/>
  <c r="DE19" i="70"/>
  <c r="DA19" i="70"/>
  <c r="CW19" i="70"/>
  <c r="CN19" i="70"/>
  <c r="CD19" i="70"/>
  <c r="BW19" i="70"/>
  <c r="BZ19" i="70" s="1"/>
  <c r="CF19" i="70" s="1"/>
  <c r="BV19" i="70"/>
  <c r="BY19" i="70" s="1"/>
  <c r="CE19" i="70"/>
  <c r="BU19" i="70"/>
  <c r="BX19" i="70" s="1"/>
  <c r="BS19" i="70"/>
  <c r="CC19" i="70" s="1"/>
  <c r="BN19" i="70"/>
  <c r="BO19" i="70" s="1"/>
  <c r="BP19" i="70"/>
  <c r="AV19" i="70"/>
  <c r="BG19" i="70" s="1"/>
  <c r="AU19" i="70"/>
  <c r="AO19" i="70"/>
  <c r="AN19" i="70"/>
  <c r="AM19" i="70"/>
  <c r="AL19" i="70"/>
  <c r="AK19" i="70"/>
  <c r="AJ19" i="70"/>
  <c r="AZ19" i="70" s="1"/>
  <c r="AI19" i="70"/>
  <c r="AH19" i="70"/>
  <c r="AG19" i="70"/>
  <c r="AF19" i="70"/>
  <c r="AD19" i="70"/>
  <c r="EB19" i="70" s="1"/>
  <c r="AC19" i="70"/>
  <c r="AB19" i="70"/>
  <c r="U19" i="70"/>
  <c r="N19" i="70"/>
  <c r="M19" i="70"/>
  <c r="EQ18" i="70"/>
  <c r="EP18" i="70"/>
  <c r="EO18" i="70"/>
  <c r="EN18" i="70"/>
  <c r="EK18" i="70"/>
  <c r="EG18" i="70"/>
  <c r="EC18" i="70"/>
  <c r="DY18" i="70"/>
  <c r="DU18" i="70"/>
  <c r="DQ18" i="70"/>
  <c r="DM18" i="70"/>
  <c r="DI18" i="70"/>
  <c r="DE18" i="70"/>
  <c r="DA18" i="70"/>
  <c r="BT18" i="70" s="1"/>
  <c r="CW18" i="70"/>
  <c r="CQ18" i="70"/>
  <c r="CN18" i="70"/>
  <c r="CO18" i="70" s="1"/>
  <c r="CR18" i="70" s="1"/>
  <c r="CE18" i="70"/>
  <c r="BW18" i="70"/>
  <c r="BZ18" i="70"/>
  <c r="CF18" i="70"/>
  <c r="BV18" i="70"/>
  <c r="BY18" i="70" s="1"/>
  <c r="BU18" i="70"/>
  <c r="BX18" i="70" s="1"/>
  <c r="CD18" i="70" s="1"/>
  <c r="CM18" i="70"/>
  <c r="BP18" i="70"/>
  <c r="BN18" i="70"/>
  <c r="BO18" i="70" s="1"/>
  <c r="BG18" i="70"/>
  <c r="BH18" i="70" s="1"/>
  <c r="AV18" i="70"/>
  <c r="BF18" i="70"/>
  <c r="AU18" i="70"/>
  <c r="AO18" i="70"/>
  <c r="AN18" i="70"/>
  <c r="AM18" i="70"/>
  <c r="AL18" i="70"/>
  <c r="AL32" i="70" s="1"/>
  <c r="AK18" i="70"/>
  <c r="AJ18" i="70"/>
  <c r="AZ18" i="70"/>
  <c r="AI18" i="70"/>
  <c r="AH18" i="70"/>
  <c r="AG18" i="70"/>
  <c r="AF18" i="70"/>
  <c r="AD18" i="70"/>
  <c r="AC18" i="70"/>
  <c r="AB18" i="70"/>
  <c r="U18" i="70"/>
  <c r="EL18" i="70" s="1"/>
  <c r="N18" i="70"/>
  <c r="M18" i="70"/>
  <c r="EQ17" i="70"/>
  <c r="EP17" i="70"/>
  <c r="EO17" i="70"/>
  <c r="EN17" i="70"/>
  <c r="EL17" i="70"/>
  <c r="EK17" i="70"/>
  <c r="EG17" i="70"/>
  <c r="EC17" i="70"/>
  <c r="ED17" i="70" s="1"/>
  <c r="DY17" i="70"/>
  <c r="DU17" i="70"/>
  <c r="DQ17" i="70"/>
  <c r="DM17" i="70"/>
  <c r="DI17" i="70"/>
  <c r="DF17" i="70"/>
  <c r="DE17" i="70"/>
  <c r="DA17" i="70"/>
  <c r="BQ17" i="70"/>
  <c r="CA17" i="70"/>
  <c r="CW17" i="70"/>
  <c r="CQ17" i="70"/>
  <c r="CP17" i="70"/>
  <c r="CS17" i="70" s="1"/>
  <c r="CN17" i="70"/>
  <c r="CO17" i="70"/>
  <c r="CR17" i="70" s="1"/>
  <c r="BY17" i="70"/>
  <c r="CE17" i="70" s="1"/>
  <c r="BX17" i="70"/>
  <c r="CD17" i="70" s="1"/>
  <c r="BW17" i="70"/>
  <c r="BZ17" i="70" s="1"/>
  <c r="CF17" i="70" s="1"/>
  <c r="BV17" i="70"/>
  <c r="BU17" i="70"/>
  <c r="BT17" i="70"/>
  <c r="CM17" i="70"/>
  <c r="BN17" i="70"/>
  <c r="BO17" i="70" s="1"/>
  <c r="BP17" i="70" s="1"/>
  <c r="BG17" i="70"/>
  <c r="AV17" i="70"/>
  <c r="BF17" i="70"/>
  <c r="BH17" i="70" s="1"/>
  <c r="AU17" i="70"/>
  <c r="AO17" i="70"/>
  <c r="AN17" i="70"/>
  <c r="AM17" i="70"/>
  <c r="AL17" i="70"/>
  <c r="AK17" i="70"/>
  <c r="AJ17" i="70"/>
  <c r="AZ17" i="70" s="1"/>
  <c r="AI17" i="70"/>
  <c r="AH17" i="70"/>
  <c r="AG17" i="70"/>
  <c r="AF17" i="70"/>
  <c r="AD17" i="70"/>
  <c r="AC17" i="70"/>
  <c r="AB17" i="70"/>
  <c r="U17" i="70"/>
  <c r="N17" i="70"/>
  <c r="AE17" i="70"/>
  <c r="M17" i="70"/>
  <c r="EQ16" i="70"/>
  <c r="EP16" i="70"/>
  <c r="EO16" i="70"/>
  <c r="EN16" i="70"/>
  <c r="EK16" i="70"/>
  <c r="EG16" i="70"/>
  <c r="EI16" i="70" s="1"/>
  <c r="EC16" i="70"/>
  <c r="EA16" i="70"/>
  <c r="DY16" i="70"/>
  <c r="DU16" i="70"/>
  <c r="DW16" i="70" s="1"/>
  <c r="DQ16" i="70"/>
  <c r="DO16" i="70"/>
  <c r="DM16" i="70"/>
  <c r="DI16" i="70"/>
  <c r="DK16" i="70" s="1"/>
  <c r="DE16" i="70"/>
  <c r="DF16" i="70" s="1"/>
  <c r="DA16" i="70"/>
  <c r="BS16" i="70" s="1"/>
  <c r="CC16" i="70" s="1"/>
  <c r="CW16" i="70"/>
  <c r="CQ16" i="70"/>
  <c r="CN16" i="70"/>
  <c r="CO16" i="70" s="1"/>
  <c r="CP16" i="70" s="1"/>
  <c r="CS16" i="70" s="1"/>
  <c r="BZ16" i="70"/>
  <c r="CF16" i="70"/>
  <c r="BW16" i="70"/>
  <c r="BV16" i="70"/>
  <c r="BY16" i="70" s="1"/>
  <c r="CE16" i="70" s="1"/>
  <c r="BU16" i="70"/>
  <c r="BX16" i="70"/>
  <c r="CD16" i="70" s="1"/>
  <c r="BT16" i="70"/>
  <c r="CM16" i="70" s="1"/>
  <c r="BN16" i="70"/>
  <c r="BO16" i="70"/>
  <c r="BP16" i="70" s="1"/>
  <c r="AZ16" i="70"/>
  <c r="AV16" i="70"/>
  <c r="BF16" i="70" s="1"/>
  <c r="AU16" i="70"/>
  <c r="AO16" i="70"/>
  <c r="AN16" i="70"/>
  <c r="AM16" i="70"/>
  <c r="AL16" i="70"/>
  <c r="AK16" i="70"/>
  <c r="AJ16" i="70"/>
  <c r="AI16" i="70"/>
  <c r="AH16" i="70"/>
  <c r="AG16" i="70"/>
  <c r="AF16" i="70"/>
  <c r="AD16" i="70"/>
  <c r="AC16" i="70"/>
  <c r="AB16" i="70"/>
  <c r="U16" i="70"/>
  <c r="DS16" i="70" s="1"/>
  <c r="N16" i="70"/>
  <c r="AE16" i="70"/>
  <c r="BB16" i="70" s="1"/>
  <c r="M16" i="70"/>
  <c r="EQ15" i="70"/>
  <c r="BG15" i="70" s="1"/>
  <c r="EP15" i="70"/>
  <c r="EO15" i="70"/>
  <c r="EN15" i="70"/>
  <c r="EK15" i="70"/>
  <c r="EI15" i="70"/>
  <c r="EG15" i="70"/>
  <c r="EC15" i="70"/>
  <c r="DY15" i="70"/>
  <c r="EA15" i="70" s="1"/>
  <c r="DU15" i="70"/>
  <c r="DS15" i="70"/>
  <c r="DQ15" i="70"/>
  <c r="DO15" i="70"/>
  <c r="DM15" i="70"/>
  <c r="DI15" i="70"/>
  <c r="DE15" i="70"/>
  <c r="DC15" i="70"/>
  <c r="DA15" i="70"/>
  <c r="CY15" i="70"/>
  <c r="CW15" i="70"/>
  <c r="BT15" i="70" s="1"/>
  <c r="CM15" i="70" s="1"/>
  <c r="CO15" i="70"/>
  <c r="CP15" i="70" s="1"/>
  <c r="CS15" i="70"/>
  <c r="CN15" i="70"/>
  <c r="CQ15" i="70"/>
  <c r="BZ15" i="70"/>
  <c r="CF15" i="70"/>
  <c r="BX15" i="70"/>
  <c r="CD15" i="70" s="1"/>
  <c r="BW15" i="70"/>
  <c r="BV15" i="70"/>
  <c r="BY15" i="70" s="1"/>
  <c r="CE15" i="70"/>
  <c r="BU15" i="70"/>
  <c r="BS15" i="70"/>
  <c r="CC15" i="70" s="1"/>
  <c r="BP15" i="70"/>
  <c r="BN15" i="70"/>
  <c r="BO15" i="70" s="1"/>
  <c r="AV15" i="70"/>
  <c r="AU15" i="70"/>
  <c r="AO15" i="70"/>
  <c r="AN15" i="70"/>
  <c r="AM15" i="70"/>
  <c r="AL15" i="70"/>
  <c r="AK15" i="70"/>
  <c r="AJ15" i="70"/>
  <c r="AZ15" i="70"/>
  <c r="AI15" i="70"/>
  <c r="AH15" i="70"/>
  <c r="AG15" i="70"/>
  <c r="AF15" i="70"/>
  <c r="AD15" i="70"/>
  <c r="DL15" i="70" s="1"/>
  <c r="AC15" i="70"/>
  <c r="AB15" i="70"/>
  <c r="U15" i="70"/>
  <c r="N15" i="70"/>
  <c r="M15" i="70"/>
  <c r="EQ14" i="70"/>
  <c r="EP14" i="70"/>
  <c r="EO14" i="70"/>
  <c r="EN14" i="70"/>
  <c r="EK14" i="70"/>
  <c r="EG14" i="70"/>
  <c r="EC14" i="70"/>
  <c r="EF14" i="70" s="1"/>
  <c r="DY14" i="70"/>
  <c r="DU14" i="70"/>
  <c r="DX14" i="70" s="1"/>
  <c r="DQ14" i="70"/>
  <c r="DM14" i="70"/>
  <c r="DP14" i="70" s="1"/>
  <c r="DI14" i="70"/>
  <c r="DH14" i="70"/>
  <c r="DE14" i="70"/>
  <c r="DA14" i="70"/>
  <c r="BT14" i="70"/>
  <c r="CM14" i="70" s="1"/>
  <c r="CW14" i="70"/>
  <c r="CQ14" i="70"/>
  <c r="CO14" i="70"/>
  <c r="CR14" i="70" s="1"/>
  <c r="CN14" i="70"/>
  <c r="BY14" i="70"/>
  <c r="CE14" i="70" s="1"/>
  <c r="BW14" i="70"/>
  <c r="BZ14" i="70" s="1"/>
  <c r="CF14" i="70" s="1"/>
  <c r="BV14" i="70"/>
  <c r="BU14" i="70"/>
  <c r="BX14" i="70" s="1"/>
  <c r="CD14" i="70" s="1"/>
  <c r="BO14" i="70"/>
  <c r="BP14" i="70"/>
  <c r="BN14" i="70"/>
  <c r="AV14" i="70"/>
  <c r="BF14" i="70" s="1"/>
  <c r="AU14" i="70"/>
  <c r="AO14" i="70"/>
  <c r="AN14" i="70"/>
  <c r="AM14" i="70"/>
  <c r="AL14" i="70"/>
  <c r="AK14" i="70"/>
  <c r="AJ14" i="70"/>
  <c r="AZ14" i="70" s="1"/>
  <c r="AI14" i="70"/>
  <c r="AH14" i="70"/>
  <c r="AG14" i="70"/>
  <c r="AF14" i="70"/>
  <c r="AD14" i="70"/>
  <c r="CZ14" i="70" s="1"/>
  <c r="AC14" i="70"/>
  <c r="AB14" i="70"/>
  <c r="U14" i="70"/>
  <c r="AE14" i="70" s="1"/>
  <c r="BB14" i="70" s="1"/>
  <c r="N14" i="70"/>
  <c r="M14" i="70"/>
  <c r="EQ13" i="70"/>
  <c r="EP13" i="70"/>
  <c r="EO13" i="70"/>
  <c r="EN13" i="70"/>
  <c r="EK13" i="70"/>
  <c r="EL13" i="70" s="1"/>
  <c r="EG13" i="70"/>
  <c r="EH13" i="70" s="1"/>
  <c r="EC13" i="70"/>
  <c r="ED13" i="70" s="1"/>
  <c r="DZ13" i="70"/>
  <c r="DY13" i="70"/>
  <c r="DU13" i="70"/>
  <c r="DV13" i="70" s="1"/>
  <c r="DQ13" i="70"/>
  <c r="DM13" i="70"/>
  <c r="DN13" i="70" s="1"/>
  <c r="DI13" i="70"/>
  <c r="DJ13" i="70" s="1"/>
  <c r="DE13" i="70"/>
  <c r="DF13" i="70"/>
  <c r="DA13" i="70"/>
  <c r="CW13" i="70"/>
  <c r="CX13" i="70"/>
  <c r="CQ13" i="70"/>
  <c r="CP13" i="70"/>
  <c r="CS13" i="70" s="1"/>
  <c r="CN13" i="70"/>
  <c r="CO13" i="70"/>
  <c r="CR13" i="70" s="1"/>
  <c r="CF13" i="70"/>
  <c r="BZ13" i="70"/>
  <c r="BY13" i="70"/>
  <c r="CE13" i="70"/>
  <c r="BW13" i="70"/>
  <c r="BV13" i="70"/>
  <c r="BU13" i="70"/>
  <c r="BX13" i="70" s="1"/>
  <c r="CD13" i="70" s="1"/>
  <c r="BN13" i="70"/>
  <c r="BO13" i="70" s="1"/>
  <c r="BP13" i="70" s="1"/>
  <c r="AV13" i="70"/>
  <c r="BF13" i="70" s="1"/>
  <c r="AU13" i="70"/>
  <c r="AO13" i="70"/>
  <c r="AN13" i="70"/>
  <c r="AM13" i="70"/>
  <c r="AL13" i="70"/>
  <c r="AK13" i="70"/>
  <c r="AJ13" i="70"/>
  <c r="AZ13" i="70" s="1"/>
  <c r="AI13" i="70"/>
  <c r="AH13" i="70"/>
  <c r="AG13" i="70"/>
  <c r="AF13" i="70"/>
  <c r="AD13" i="70"/>
  <c r="AC13" i="70"/>
  <c r="AB13" i="70"/>
  <c r="U13" i="70"/>
  <c r="N13" i="70"/>
  <c r="M13" i="70"/>
  <c r="EQ12" i="70"/>
  <c r="EP12" i="70"/>
  <c r="BF12" i="70" s="1"/>
  <c r="BH12" i="70" s="1"/>
  <c r="EO12" i="70"/>
  <c r="EN12" i="70"/>
  <c r="EK12" i="70"/>
  <c r="EG12" i="70"/>
  <c r="EI12" i="70" s="1"/>
  <c r="EC12" i="70"/>
  <c r="ED12" i="70" s="1"/>
  <c r="DY12" i="70"/>
  <c r="DU12" i="70"/>
  <c r="DQ12" i="70"/>
  <c r="DM12" i="70"/>
  <c r="DI12" i="70"/>
  <c r="DE12" i="70"/>
  <c r="DA12" i="70"/>
  <c r="CW12" i="70"/>
  <c r="CN12" i="70"/>
  <c r="CO12" i="70" s="1"/>
  <c r="CP12" i="70" s="1"/>
  <c r="BW12" i="70"/>
  <c r="BZ12" i="70"/>
  <c r="CF12" i="70" s="1"/>
  <c r="BV12" i="70"/>
  <c r="BY12" i="70"/>
  <c r="CE12" i="70" s="1"/>
  <c r="BU12" i="70"/>
  <c r="BX12" i="70"/>
  <c r="CD12" i="70" s="1"/>
  <c r="BR12" i="70"/>
  <c r="CB12" i="70" s="1"/>
  <c r="BN12" i="70"/>
  <c r="BO12" i="70" s="1"/>
  <c r="BP12" i="70" s="1"/>
  <c r="AV12" i="70"/>
  <c r="BG12" i="70" s="1"/>
  <c r="AU12" i="70"/>
  <c r="AU32" i="70" s="1"/>
  <c r="AO12" i="70"/>
  <c r="AN12" i="70"/>
  <c r="AM12" i="70"/>
  <c r="AL12" i="70"/>
  <c r="AK12" i="70"/>
  <c r="AJ12" i="70"/>
  <c r="AZ12" i="70" s="1"/>
  <c r="AI12" i="70"/>
  <c r="AH12" i="70"/>
  <c r="AH32" i="70" s="1"/>
  <c r="AG12" i="70"/>
  <c r="AF12" i="70"/>
  <c r="AD12" i="70"/>
  <c r="AC12" i="70"/>
  <c r="AB12" i="70"/>
  <c r="U12" i="70"/>
  <c r="N12" i="70"/>
  <c r="M12" i="70"/>
  <c r="EQ11" i="70"/>
  <c r="EP11" i="70"/>
  <c r="EO11" i="70"/>
  <c r="EN11" i="70"/>
  <c r="EK11" i="70"/>
  <c r="EJ11" i="70"/>
  <c r="EG11" i="70"/>
  <c r="EC11" i="70"/>
  <c r="ED11" i="70" s="1"/>
  <c r="DY11" i="70"/>
  <c r="DZ11" i="70"/>
  <c r="DU11" i="70"/>
  <c r="DQ11" i="70"/>
  <c r="DM11" i="70"/>
  <c r="DO11" i="70" s="1"/>
  <c r="DI11" i="70"/>
  <c r="DJ11" i="70" s="1"/>
  <c r="DE11" i="70"/>
  <c r="DA11" i="70"/>
  <c r="DD11" i="70" s="1"/>
  <c r="CW11" i="70"/>
  <c r="BT11" i="70" s="1"/>
  <c r="CM11" i="70" s="1"/>
  <c r="CN11" i="70"/>
  <c r="CO11" i="70" s="1"/>
  <c r="CE11" i="70"/>
  <c r="BZ11" i="70"/>
  <c r="CF11" i="70" s="1"/>
  <c r="BX11" i="70"/>
  <c r="CD11" i="70"/>
  <c r="BW11" i="70"/>
  <c r="BV11" i="70"/>
  <c r="BY11" i="70"/>
  <c r="BU11" i="70"/>
  <c r="BN11" i="70"/>
  <c r="BO11" i="70" s="1"/>
  <c r="BP11" i="70" s="1"/>
  <c r="BF11" i="70"/>
  <c r="AV11" i="70"/>
  <c r="BG11" i="70"/>
  <c r="AU11" i="70"/>
  <c r="AO11" i="70"/>
  <c r="AN11" i="70"/>
  <c r="AM11" i="70"/>
  <c r="AL11" i="70"/>
  <c r="AK11" i="70"/>
  <c r="AJ11" i="70"/>
  <c r="AZ11" i="70"/>
  <c r="AI11" i="70"/>
  <c r="AH11" i="70"/>
  <c r="AG11" i="70"/>
  <c r="AF11" i="70"/>
  <c r="AD11" i="70"/>
  <c r="DT11" i="70" s="1"/>
  <c r="AC11" i="70"/>
  <c r="AB11" i="70"/>
  <c r="U11" i="70"/>
  <c r="EE11" i="70" s="1"/>
  <c r="N11" i="70"/>
  <c r="M11" i="70"/>
  <c r="EQ10" i="70"/>
  <c r="EP10" i="70"/>
  <c r="EO10" i="70"/>
  <c r="EN10" i="70"/>
  <c r="EK10" i="70"/>
  <c r="EL10" i="70" s="1"/>
  <c r="EG10" i="70"/>
  <c r="EI10" i="70"/>
  <c r="EC10" i="70"/>
  <c r="EE10" i="70" s="1"/>
  <c r="DY10" i="70"/>
  <c r="DZ10" i="70" s="1"/>
  <c r="DU10" i="70"/>
  <c r="DQ10" i="70"/>
  <c r="DS10" i="70" s="1"/>
  <c r="DM10" i="70"/>
  <c r="DO10" i="70"/>
  <c r="DI10" i="70"/>
  <c r="DJ10" i="70" s="1"/>
  <c r="DE10" i="70"/>
  <c r="DA10" i="70"/>
  <c r="DC10" i="70" s="1"/>
  <c r="CW10" i="70"/>
  <c r="CQ10" i="70"/>
  <c r="CN10" i="70"/>
  <c r="CO10" i="70" s="1"/>
  <c r="CR10" i="70" s="1"/>
  <c r="BW10" i="70"/>
  <c r="BZ10" i="70" s="1"/>
  <c r="CF10" i="70" s="1"/>
  <c r="BV10" i="70"/>
  <c r="BY10" i="70" s="1"/>
  <c r="CE10" i="70" s="1"/>
  <c r="BU10" i="70"/>
  <c r="BX10" i="70"/>
  <c r="CD10" i="70" s="1"/>
  <c r="BO10" i="70"/>
  <c r="BP10" i="70" s="1"/>
  <c r="BN10" i="70"/>
  <c r="BG10" i="70"/>
  <c r="BF10" i="70"/>
  <c r="AV10" i="70"/>
  <c r="AU10" i="70"/>
  <c r="AO10" i="70"/>
  <c r="AN10" i="70"/>
  <c r="AM10" i="70"/>
  <c r="AL10" i="70"/>
  <c r="AK10" i="70"/>
  <c r="AJ10" i="70"/>
  <c r="AZ10" i="70" s="1"/>
  <c r="AI10" i="70"/>
  <c r="AH10" i="70"/>
  <c r="AG10" i="70"/>
  <c r="AF10" i="70"/>
  <c r="AD10" i="70"/>
  <c r="AC10" i="70"/>
  <c r="AB10" i="70"/>
  <c r="U10" i="70"/>
  <c r="N10" i="70"/>
  <c r="M10" i="70"/>
  <c r="EQ9" i="70"/>
  <c r="EP9" i="70"/>
  <c r="EO9" i="70"/>
  <c r="EN9" i="70"/>
  <c r="EK9" i="70"/>
  <c r="EG9" i="70"/>
  <c r="EJ9" i="70" s="1"/>
  <c r="EC9" i="70"/>
  <c r="EF9" i="70" s="1"/>
  <c r="DY9" i="70"/>
  <c r="DU9" i="70"/>
  <c r="DQ9" i="70"/>
  <c r="DT9" i="70" s="1"/>
  <c r="DM9" i="70"/>
  <c r="DP9" i="70" s="1"/>
  <c r="DI9" i="70"/>
  <c r="DE9" i="70"/>
  <c r="DA9" i="70"/>
  <c r="CW9" i="70"/>
  <c r="BR9" i="70" s="1"/>
  <c r="CB9" i="70" s="1"/>
  <c r="CN9" i="70"/>
  <c r="CO9" i="70" s="1"/>
  <c r="CQ9" i="70"/>
  <c r="BW9" i="70"/>
  <c r="BZ9" i="70" s="1"/>
  <c r="CF9" i="70" s="1"/>
  <c r="BV9" i="70"/>
  <c r="BY9" i="70" s="1"/>
  <c r="CE9" i="70" s="1"/>
  <c r="BU9" i="70"/>
  <c r="BX9" i="70" s="1"/>
  <c r="CD9" i="70" s="1"/>
  <c r="BO9" i="70"/>
  <c r="BP9" i="70" s="1"/>
  <c r="BN9" i="70"/>
  <c r="AZ9" i="70"/>
  <c r="AV9" i="70"/>
  <c r="AU9" i="70"/>
  <c r="AO9" i="70"/>
  <c r="AN9" i="70"/>
  <c r="AM9" i="70"/>
  <c r="AL9" i="70"/>
  <c r="AK9" i="70"/>
  <c r="AJ9" i="70"/>
  <c r="AI9" i="70"/>
  <c r="AH9" i="70"/>
  <c r="AG9" i="70"/>
  <c r="AF9" i="70"/>
  <c r="AD9" i="70"/>
  <c r="DX9" i="70" s="1"/>
  <c r="AC9" i="70"/>
  <c r="AB9" i="70"/>
  <c r="U9" i="70"/>
  <c r="N9" i="70"/>
  <c r="M9" i="70"/>
  <c r="EQ8" i="70"/>
  <c r="EP8" i="70"/>
  <c r="EO8" i="70"/>
  <c r="EN8" i="70"/>
  <c r="EK8" i="70"/>
  <c r="EL8" i="70"/>
  <c r="EG8" i="70"/>
  <c r="EH8" i="70"/>
  <c r="EC8" i="70"/>
  <c r="ED8" i="70" s="1"/>
  <c r="DY8" i="70"/>
  <c r="DZ8" i="70" s="1"/>
  <c r="DU8" i="70"/>
  <c r="DV8" i="70"/>
  <c r="DQ8" i="70"/>
  <c r="DR8" i="70"/>
  <c r="DM8" i="70"/>
  <c r="DN8" i="70" s="1"/>
  <c r="DI8" i="70"/>
  <c r="DJ8" i="70" s="1"/>
  <c r="DE8" i="70"/>
  <c r="DF8" i="70"/>
  <c r="DA8" i="70"/>
  <c r="DB8" i="70"/>
  <c r="BC8" i="70" s="1"/>
  <c r="CW8" i="70"/>
  <c r="CX8" i="70" s="1"/>
  <c r="CP8" i="70"/>
  <c r="CS8" i="70" s="1"/>
  <c r="CO8" i="70"/>
  <c r="CR8" i="70"/>
  <c r="CN8" i="70"/>
  <c r="CQ8" i="70"/>
  <c r="BW8" i="70"/>
  <c r="BZ8" i="70" s="1"/>
  <c r="CF8" i="70" s="1"/>
  <c r="BV8" i="70"/>
  <c r="BY8" i="70" s="1"/>
  <c r="CE8" i="70" s="1"/>
  <c r="BU8" i="70"/>
  <c r="BX8" i="70" s="1"/>
  <c r="CD8" i="70" s="1"/>
  <c r="BN8" i="70"/>
  <c r="BO8" i="70" s="1"/>
  <c r="BP8" i="70" s="1"/>
  <c r="AV8" i="70"/>
  <c r="AU8" i="70"/>
  <c r="AO8" i="70"/>
  <c r="AN8" i="70"/>
  <c r="AM8" i="70"/>
  <c r="AM32" i="70" s="1"/>
  <c r="AL8" i="70"/>
  <c r="AK8" i="70"/>
  <c r="AJ8" i="70"/>
  <c r="AZ8" i="70" s="1"/>
  <c r="AI8" i="70"/>
  <c r="AH8" i="70"/>
  <c r="AG8" i="70"/>
  <c r="AF8" i="70"/>
  <c r="AD8" i="70"/>
  <c r="AC8" i="70"/>
  <c r="AB8" i="70"/>
  <c r="U8" i="70"/>
  <c r="AE8" i="70"/>
  <c r="N8" i="70"/>
  <c r="M8" i="70"/>
  <c r="EQ7" i="70"/>
  <c r="EP7" i="70"/>
  <c r="EO7" i="70"/>
  <c r="EN7" i="70"/>
  <c r="EK7" i="70"/>
  <c r="EG7" i="70"/>
  <c r="ED7" i="70"/>
  <c r="EC7" i="70"/>
  <c r="EE7" i="70" s="1"/>
  <c r="DZ7" i="70"/>
  <c r="DY7" i="70"/>
  <c r="EA7" i="70" s="1"/>
  <c r="DV7" i="70"/>
  <c r="DU7" i="70"/>
  <c r="DW7" i="70"/>
  <c r="DR7" i="70"/>
  <c r="DQ7" i="70"/>
  <c r="DM7" i="70"/>
  <c r="DO7" i="70"/>
  <c r="DI7" i="70"/>
  <c r="DE7" i="70"/>
  <c r="DF7" i="70" s="1"/>
  <c r="DA7" i="70"/>
  <c r="CX7" i="70"/>
  <c r="CW7" i="70"/>
  <c r="CN7" i="70"/>
  <c r="CQ7" i="70" s="1"/>
  <c r="BW7" i="70"/>
  <c r="BZ7" i="70"/>
  <c r="CF7" i="70" s="1"/>
  <c r="BV7" i="70"/>
  <c r="BY7" i="70" s="1"/>
  <c r="CE7" i="70" s="1"/>
  <c r="BU7" i="70"/>
  <c r="BX7" i="70" s="1"/>
  <c r="CD7" i="70" s="1"/>
  <c r="AV7" i="70"/>
  <c r="AU7" i="70"/>
  <c r="AO7" i="70"/>
  <c r="AO32" i="70" s="1"/>
  <c r="AN7" i="70"/>
  <c r="AM7" i="70"/>
  <c r="AL7" i="70"/>
  <c r="AK7" i="70"/>
  <c r="AJ7" i="70"/>
  <c r="AZ7" i="70" s="1"/>
  <c r="AI7" i="70"/>
  <c r="AH7" i="70"/>
  <c r="AG7" i="70"/>
  <c r="AG32" i="70" s="1"/>
  <c r="AF7" i="70"/>
  <c r="AD7" i="70"/>
  <c r="DP7" i="70" s="1"/>
  <c r="AC7" i="70"/>
  <c r="AB7" i="70"/>
  <c r="U7" i="70"/>
  <c r="EL7" i="70" s="1"/>
  <c r="N7" i="70"/>
  <c r="DN7" i="70" s="1"/>
  <c r="M7" i="70"/>
  <c r="EQ6" i="70"/>
  <c r="BG6" i="70"/>
  <c r="EP6" i="70"/>
  <c r="EO6" i="70"/>
  <c r="EN6" i="70"/>
  <c r="EK6" i="70"/>
  <c r="EI6" i="70"/>
  <c r="EG6" i="70"/>
  <c r="EJ6" i="70"/>
  <c r="EE6" i="70"/>
  <c r="EC6" i="70"/>
  <c r="DY6" i="70"/>
  <c r="DU6" i="70"/>
  <c r="DW6" i="70" s="1"/>
  <c r="DQ6" i="70"/>
  <c r="DS6" i="70" s="1"/>
  <c r="DM6" i="70"/>
  <c r="DI6" i="70"/>
  <c r="DG6" i="70"/>
  <c r="DE6" i="70"/>
  <c r="DC6" i="70"/>
  <c r="DA6" i="70"/>
  <c r="CY6" i="70"/>
  <c r="CW6" i="70"/>
  <c r="CN6" i="70"/>
  <c r="BZ6" i="70"/>
  <c r="CF6" i="70" s="1"/>
  <c r="BW6" i="70"/>
  <c r="BV6" i="70"/>
  <c r="BY6" i="70" s="1"/>
  <c r="CE6" i="70"/>
  <c r="BU6" i="70"/>
  <c r="BX6" i="70"/>
  <c r="CD6" i="70"/>
  <c r="AV6" i="70"/>
  <c r="AU6" i="70"/>
  <c r="AO6" i="70"/>
  <c r="AN6" i="70"/>
  <c r="AM6" i="70"/>
  <c r="AL6" i="70"/>
  <c r="AK6" i="70"/>
  <c r="AJ6" i="70"/>
  <c r="AZ6" i="70" s="1"/>
  <c r="AI6" i="70"/>
  <c r="AH6" i="70"/>
  <c r="AG6" i="70"/>
  <c r="AF6" i="70"/>
  <c r="AD6" i="70"/>
  <c r="EF6" i="70" s="1"/>
  <c r="AC6" i="70"/>
  <c r="AB6" i="70"/>
  <c r="U6" i="70"/>
  <c r="EL6" i="70" s="1"/>
  <c r="N6" i="70"/>
  <c r="M6" i="70"/>
  <c r="EQ5" i="70"/>
  <c r="EP5" i="70"/>
  <c r="BF5" i="70" s="1"/>
  <c r="EO5" i="70"/>
  <c r="EN5" i="70"/>
  <c r="EK5" i="70"/>
  <c r="EL5" i="70" s="1"/>
  <c r="EG5" i="70"/>
  <c r="EC5" i="70"/>
  <c r="EB5" i="70"/>
  <c r="DY5" i="70"/>
  <c r="DU5" i="70"/>
  <c r="DQ5" i="70"/>
  <c r="DM5" i="70"/>
  <c r="DL5" i="70"/>
  <c r="DI5" i="70"/>
  <c r="DE5" i="70"/>
  <c r="DA5" i="70"/>
  <c r="CW5" i="70"/>
  <c r="CX5" i="70" s="1"/>
  <c r="CN5" i="70"/>
  <c r="CO5" i="70" s="1"/>
  <c r="CP5" i="70" s="1"/>
  <c r="CS5" i="70" s="1"/>
  <c r="CQ5" i="70"/>
  <c r="BW5" i="70"/>
  <c r="BZ5" i="70" s="1"/>
  <c r="CF5" i="70" s="1"/>
  <c r="BV5" i="70"/>
  <c r="BY5" i="70" s="1"/>
  <c r="CE5" i="70"/>
  <c r="BU5" i="70"/>
  <c r="BX5" i="70"/>
  <c r="CD5" i="70" s="1"/>
  <c r="AZ5" i="70"/>
  <c r="AV5" i="70"/>
  <c r="BG5" i="70" s="1"/>
  <c r="AU5" i="70"/>
  <c r="AO5" i="70"/>
  <c r="AN5" i="70"/>
  <c r="AM5" i="70"/>
  <c r="AL5" i="70"/>
  <c r="AK5" i="70"/>
  <c r="AJ5" i="70"/>
  <c r="AI5" i="70"/>
  <c r="AH5" i="70"/>
  <c r="AG5" i="70"/>
  <c r="AF5" i="70"/>
  <c r="AD5" i="70"/>
  <c r="AC5" i="70"/>
  <c r="AB5" i="70"/>
  <c r="U5" i="70"/>
  <c r="N5" i="70"/>
  <c r="M5" i="70"/>
  <c r="EQ4" i="70"/>
  <c r="BG4" i="70" s="1"/>
  <c r="EP4" i="70"/>
  <c r="EO4" i="70"/>
  <c r="EN4" i="70"/>
  <c r="EK4" i="70"/>
  <c r="EL4" i="70"/>
  <c r="EG4" i="70"/>
  <c r="EH4" i="70"/>
  <c r="EC4" i="70"/>
  <c r="DY4" i="70"/>
  <c r="DZ4" i="70" s="1"/>
  <c r="DU4" i="70"/>
  <c r="DW4" i="70" s="1"/>
  <c r="DV4" i="70"/>
  <c r="DQ4" i="70"/>
  <c r="DM4" i="70"/>
  <c r="DI4" i="70"/>
  <c r="DJ4" i="70" s="1"/>
  <c r="DE4" i="70"/>
  <c r="DF4" i="70"/>
  <c r="DA4" i="70"/>
  <c r="DB4" i="70"/>
  <c r="CW4" i="70"/>
  <c r="CP4" i="70"/>
  <c r="CS4" i="70" s="1"/>
  <c r="CO4" i="70"/>
  <c r="CR4" i="70"/>
  <c r="CN4" i="70"/>
  <c r="CQ4" i="70"/>
  <c r="AV4" i="70"/>
  <c r="AV32" i="70" s="1"/>
  <c r="AU4" i="70"/>
  <c r="AO4" i="70"/>
  <c r="AN4" i="70"/>
  <c r="AN32" i="70" s="1"/>
  <c r="AM4" i="70"/>
  <c r="AL4" i="70"/>
  <c r="AK4" i="70"/>
  <c r="AJ4" i="70"/>
  <c r="AJ32" i="70" s="1"/>
  <c r="AI4" i="70"/>
  <c r="AI32" i="70"/>
  <c r="AH4" i="70"/>
  <c r="AG4" i="70"/>
  <c r="AF4" i="70"/>
  <c r="AF32" i="70" s="1"/>
  <c r="AD4" i="70"/>
  <c r="AE4" i="70" s="1"/>
  <c r="BA4" i="70" s="1"/>
  <c r="AC4" i="70"/>
  <c r="AB4" i="70"/>
  <c r="AB32" i="70" s="1"/>
  <c r="U4" i="70"/>
  <c r="U32" i="70"/>
  <c r="N4" i="70"/>
  <c r="DR4" i="70" s="1"/>
  <c r="M4" i="70"/>
  <c r="B32" i="67"/>
  <c r="G32" i="67"/>
  <c r="N55" i="67"/>
  <c r="N49" i="67"/>
  <c r="N40" i="67"/>
  <c r="N39" i="67"/>
  <c r="N38" i="67"/>
  <c r="CS12" i="70"/>
  <c r="CR12" i="70"/>
  <c r="BB8" i="70"/>
  <c r="BA8" i="70"/>
  <c r="BA14" i="70"/>
  <c r="AE9" i="70"/>
  <c r="BF9" i="70"/>
  <c r="N32" i="70"/>
  <c r="CY4" i="70"/>
  <c r="DC4" i="70"/>
  <c r="DG4" i="70"/>
  <c r="DK4" i="70"/>
  <c r="DS4" i="70"/>
  <c r="EA4" i="70"/>
  <c r="EE4" i="70"/>
  <c r="EI4" i="70"/>
  <c r="DB5" i="70"/>
  <c r="DZ5" i="70"/>
  <c r="BS7" i="70"/>
  <c r="CC7" i="70"/>
  <c r="DL7" i="70"/>
  <c r="DT7" i="70"/>
  <c r="DX7" i="70"/>
  <c r="EB7" i="70"/>
  <c r="EF7" i="70"/>
  <c r="BR8" i="70"/>
  <c r="CB8" i="70" s="1"/>
  <c r="CY8" i="70"/>
  <c r="DC8" i="70"/>
  <c r="DG8" i="70"/>
  <c r="DK8" i="70"/>
  <c r="DO8" i="70"/>
  <c r="DS8" i="70"/>
  <c r="DW8" i="70"/>
  <c r="EA8" i="70"/>
  <c r="EE8" i="70"/>
  <c r="EI8" i="70"/>
  <c r="CX9" i="70"/>
  <c r="DB9" i="70"/>
  <c r="DF9" i="70"/>
  <c r="DN9" i="70"/>
  <c r="DR9" i="70"/>
  <c r="DZ9" i="70"/>
  <c r="ED9" i="70"/>
  <c r="EL9" i="70"/>
  <c r="CZ10" i="70"/>
  <c r="DG10" i="70"/>
  <c r="DW10" i="70"/>
  <c r="EF10" i="70"/>
  <c r="DB11" i="70"/>
  <c r="DL11" i="70"/>
  <c r="DR11" i="70"/>
  <c r="EB11" i="70"/>
  <c r="EH11" i="70"/>
  <c r="CQ12" i="70"/>
  <c r="CY12" i="70"/>
  <c r="DJ12" i="70"/>
  <c r="DO12" i="70"/>
  <c r="DZ12" i="70"/>
  <c r="EE12" i="70"/>
  <c r="BQ13" i="70"/>
  <c r="CA13" i="70" s="1"/>
  <c r="BG14" i="70"/>
  <c r="BH14" i="70"/>
  <c r="BS14" i="70"/>
  <c r="CC14" i="70"/>
  <c r="CX14" i="70"/>
  <c r="BQ14" i="70"/>
  <c r="CA14" i="70"/>
  <c r="CY14" i="70"/>
  <c r="BR14" i="70"/>
  <c r="CB14" i="70"/>
  <c r="DF14" i="70"/>
  <c r="DG14" i="70"/>
  <c r="DN14" i="70"/>
  <c r="DO14" i="70"/>
  <c r="DV14" i="70"/>
  <c r="DW14" i="70"/>
  <c r="ED14" i="70"/>
  <c r="EE14" i="70"/>
  <c r="EL14" i="70"/>
  <c r="DB15" i="70"/>
  <c r="DG15" i="70"/>
  <c r="DR15" i="70"/>
  <c r="DW15" i="70"/>
  <c r="EB15" i="70"/>
  <c r="EH15" i="70"/>
  <c r="CX16" i="70"/>
  <c r="DN16" i="70"/>
  <c r="ED16" i="70"/>
  <c r="BA17" i="70"/>
  <c r="BB17" i="70"/>
  <c r="CY17" i="70"/>
  <c r="BR17" i="70"/>
  <c r="CB17" i="70"/>
  <c r="CZ17" i="70"/>
  <c r="BS17" i="70"/>
  <c r="CC17" i="70" s="1"/>
  <c r="DG17" i="70"/>
  <c r="DH17" i="70"/>
  <c r="DO17" i="70"/>
  <c r="DP17" i="70"/>
  <c r="DW17" i="70"/>
  <c r="EE17" i="70"/>
  <c r="EF17" i="70"/>
  <c r="DF19" i="70"/>
  <c r="DH19" i="70"/>
  <c r="DL19" i="70"/>
  <c r="DV19" i="70"/>
  <c r="DX19" i="70"/>
  <c r="EL19" i="70"/>
  <c r="EA21" i="70"/>
  <c r="EB21" i="70"/>
  <c r="DZ21" i="70"/>
  <c r="CP22" i="70"/>
  <c r="CS22" i="70"/>
  <c r="DN22" i="70"/>
  <c r="DO22" i="70"/>
  <c r="BA23" i="70"/>
  <c r="AE24" i="70"/>
  <c r="DV24" i="70"/>
  <c r="DF24" i="70"/>
  <c r="EH24" i="70"/>
  <c r="DR24" i="70"/>
  <c r="DB24" i="70"/>
  <c r="EJ24" i="70"/>
  <c r="EF24" i="70"/>
  <c r="EB24" i="70"/>
  <c r="DX24" i="70"/>
  <c r="DT24" i="70"/>
  <c r="DP24" i="70"/>
  <c r="DL24" i="70"/>
  <c r="DH24" i="70"/>
  <c r="DD24" i="70"/>
  <c r="CZ24" i="70"/>
  <c r="CQ24" i="70"/>
  <c r="DN24" i="70"/>
  <c r="DW25" i="70"/>
  <c r="DX25" i="70"/>
  <c r="BF26" i="70"/>
  <c r="BH26" i="70"/>
  <c r="DN26" i="70"/>
  <c r="DO26" i="70"/>
  <c r="DP26" i="70"/>
  <c r="EA27" i="70"/>
  <c r="DK27" i="70"/>
  <c r="AE27" i="70"/>
  <c r="BF27" i="70"/>
  <c r="BH27" i="70"/>
  <c r="BG27" i="70"/>
  <c r="DF27" i="70"/>
  <c r="DH27" i="70"/>
  <c r="DO27" i="70"/>
  <c r="CR29" i="70"/>
  <c r="CS29" i="70"/>
  <c r="CZ30" i="70"/>
  <c r="CX30" i="70"/>
  <c r="BQ30" i="70"/>
  <c r="CA30" i="70" s="1"/>
  <c r="CY30" i="70"/>
  <c r="BR30" i="70"/>
  <c r="CB30" i="70" s="1"/>
  <c r="DJ31" i="70"/>
  <c r="DL31" i="70"/>
  <c r="DK31" i="70"/>
  <c r="DZ31" i="70"/>
  <c r="EB31" i="70"/>
  <c r="EA31" i="70"/>
  <c r="DD4" i="70"/>
  <c r="DH4" i="70"/>
  <c r="DL4" i="70"/>
  <c r="DX4" i="70"/>
  <c r="EJ4" i="70"/>
  <c r="CR5" i="70"/>
  <c r="CY5" i="70"/>
  <c r="DG5" i="70"/>
  <c r="DK5" i="70"/>
  <c r="DO5" i="70"/>
  <c r="DW5" i="70"/>
  <c r="EA5" i="70"/>
  <c r="EE5" i="70"/>
  <c r="EI5" i="70"/>
  <c r="CX6" i="70"/>
  <c r="DB6" i="70"/>
  <c r="DF6" i="70"/>
  <c r="DJ6" i="70"/>
  <c r="DR6" i="70"/>
  <c r="DV6" i="70"/>
  <c r="DZ6" i="70"/>
  <c r="ED6" i="70"/>
  <c r="EH6" i="70"/>
  <c r="BS8" i="70"/>
  <c r="CC8" i="70" s="1"/>
  <c r="CZ8" i="70"/>
  <c r="DD8" i="70"/>
  <c r="DH8" i="70"/>
  <c r="DL8" i="70"/>
  <c r="DP8" i="70"/>
  <c r="DT8" i="70"/>
  <c r="DX8" i="70"/>
  <c r="EB8" i="70"/>
  <c r="EF8" i="70"/>
  <c r="EJ8" i="70"/>
  <c r="CY9" i="70"/>
  <c r="DC9" i="70"/>
  <c r="DG9" i="70"/>
  <c r="DK9" i="70"/>
  <c r="DO9" i="70"/>
  <c r="DS9" i="70"/>
  <c r="DW9" i="70"/>
  <c r="EA9" i="70"/>
  <c r="EE9" i="70"/>
  <c r="DF10" i="70"/>
  <c r="DV10" i="70"/>
  <c r="EB10" i="70"/>
  <c r="CX11" i="70"/>
  <c r="BQ11" i="70"/>
  <c r="CA11" i="70" s="1"/>
  <c r="EJ12" i="70"/>
  <c r="EF12" i="70"/>
  <c r="EB12" i="70"/>
  <c r="DX12" i="70"/>
  <c r="DT12" i="70"/>
  <c r="DP12" i="70"/>
  <c r="DL12" i="70"/>
  <c r="DH12" i="70"/>
  <c r="DD12" i="70"/>
  <c r="CZ12" i="70"/>
  <c r="DK12" i="70"/>
  <c r="DV12" i="70"/>
  <c r="EA12" i="70"/>
  <c r="EL12" i="70"/>
  <c r="DC13" i="70"/>
  <c r="DD13" i="70"/>
  <c r="DK13" i="70"/>
  <c r="DL13" i="70"/>
  <c r="DS13" i="70"/>
  <c r="DT13" i="70"/>
  <c r="EA13" i="70"/>
  <c r="EB13" i="70"/>
  <c r="EI13" i="70"/>
  <c r="EJ13" i="70"/>
  <c r="CX15" i="70"/>
  <c r="DH15" i="70"/>
  <c r="DN15" i="70"/>
  <c r="DX15" i="70"/>
  <c r="ED15" i="70"/>
  <c r="EJ16" i="70"/>
  <c r="EF16" i="70"/>
  <c r="EB16" i="70"/>
  <c r="DX16" i="70"/>
  <c r="DT16" i="70"/>
  <c r="DP16" i="70"/>
  <c r="DL16" i="70"/>
  <c r="DH16" i="70"/>
  <c r="DD16" i="70"/>
  <c r="CZ16" i="70"/>
  <c r="DJ16" i="70"/>
  <c r="DZ16" i="70"/>
  <c r="CX18" i="70"/>
  <c r="BQ18" i="70"/>
  <c r="CA18" i="70"/>
  <c r="CY18" i="70"/>
  <c r="BR18" i="70"/>
  <c r="CB18" i="70"/>
  <c r="DF18" i="70"/>
  <c r="DG18" i="70"/>
  <c r="DN18" i="70"/>
  <c r="DO18" i="70"/>
  <c r="DV18" i="70"/>
  <c r="DW18" i="70"/>
  <c r="ED18" i="70"/>
  <c r="EE18" i="70"/>
  <c r="DS21" i="70"/>
  <c r="DT21" i="70"/>
  <c r="DR21" i="70"/>
  <c r="DF22" i="70"/>
  <c r="DG22" i="70"/>
  <c r="BF25" i="70"/>
  <c r="BH25" i="70" s="1"/>
  <c r="CR25" i="70"/>
  <c r="CP25" i="70"/>
  <c r="CS25" i="70"/>
  <c r="DO25" i="70"/>
  <c r="DP25" i="70"/>
  <c r="DF26" i="70"/>
  <c r="DG26" i="70"/>
  <c r="DH26" i="70"/>
  <c r="EL26" i="70"/>
  <c r="AW68" i="70"/>
  <c r="AY68" i="70"/>
  <c r="AX68" i="70"/>
  <c r="DR10" i="70"/>
  <c r="DX10" i="70"/>
  <c r="EH10" i="70"/>
  <c r="AE12" i="70"/>
  <c r="DG12" i="70"/>
  <c r="DW12" i="70"/>
  <c r="DB14" i="70"/>
  <c r="DC14" i="70"/>
  <c r="DJ14" i="70"/>
  <c r="DK14" i="70"/>
  <c r="DR14" i="70"/>
  <c r="DS14" i="70"/>
  <c r="DZ14" i="70"/>
  <c r="EA14" i="70"/>
  <c r="EH14" i="70"/>
  <c r="EI14" i="70"/>
  <c r="DD15" i="70"/>
  <c r="DJ15" i="70"/>
  <c r="DT15" i="70"/>
  <c r="DZ15" i="70"/>
  <c r="EJ15" i="70"/>
  <c r="DC17" i="70"/>
  <c r="DD17" i="70"/>
  <c r="DK17" i="70"/>
  <c r="DL17" i="70"/>
  <c r="DS17" i="70"/>
  <c r="DT17" i="70"/>
  <c r="EA17" i="70"/>
  <c r="EB17" i="70"/>
  <c r="EI17" i="70"/>
  <c r="EJ17" i="70"/>
  <c r="CQ19" i="70"/>
  <c r="CO19" i="70"/>
  <c r="CP20" i="70"/>
  <c r="CS20" i="70"/>
  <c r="CR20" i="70"/>
  <c r="DK21" i="70"/>
  <c r="DL21" i="70"/>
  <c r="DJ21" i="70"/>
  <c r="CX22" i="70"/>
  <c r="BQ22" i="70"/>
  <c r="CA22" i="70" s="1"/>
  <c r="CY22" i="70"/>
  <c r="BR22" i="70"/>
  <c r="CB22" i="70" s="1"/>
  <c r="ED22" i="70"/>
  <c r="EE22" i="70"/>
  <c r="CQ23" i="70"/>
  <c r="CO23" i="70"/>
  <c r="DG25" i="70"/>
  <c r="DH25" i="70"/>
  <c r="CX26" i="70"/>
  <c r="BQ26" i="70"/>
  <c r="CA26" i="70" s="1"/>
  <c r="CY26" i="70"/>
  <c r="BD26" i="70" s="1"/>
  <c r="BR26" i="70"/>
  <c r="CB26" i="70"/>
  <c r="CZ26" i="70"/>
  <c r="BT26" i="70"/>
  <c r="CM26" i="70"/>
  <c r="ED26" i="70"/>
  <c r="EE26" i="70"/>
  <c r="EF26" i="70"/>
  <c r="DS29" i="70"/>
  <c r="DT29" i="70"/>
  <c r="DR29" i="70"/>
  <c r="BB38" i="70"/>
  <c r="BC38" i="70"/>
  <c r="AW50" i="70"/>
  <c r="AY50" i="70" s="1"/>
  <c r="AX50" i="70"/>
  <c r="CY10" i="70"/>
  <c r="DB10" i="70"/>
  <c r="BH11" i="70"/>
  <c r="M32" i="70"/>
  <c r="AC32" i="70"/>
  <c r="AK32" i="70"/>
  <c r="AZ4" i="70"/>
  <c r="AZ32" i="70"/>
  <c r="BR7" i="70"/>
  <c r="CB7" i="70"/>
  <c r="BQ8" i="70"/>
  <c r="CA8" i="70"/>
  <c r="CP10" i="70"/>
  <c r="CS10" i="70"/>
  <c r="CX10" i="70"/>
  <c r="DD10" i="70"/>
  <c r="DK10" i="70"/>
  <c r="DN10" i="70"/>
  <c r="DT10" i="70"/>
  <c r="EA10" i="70"/>
  <c r="ED10" i="70"/>
  <c r="EJ10" i="70"/>
  <c r="BR11" i="70"/>
  <c r="CB11" i="70"/>
  <c r="CZ11" i="70"/>
  <c r="DF11" i="70"/>
  <c r="DK11" i="70"/>
  <c r="DP11" i="70"/>
  <c r="DV11" i="70"/>
  <c r="EA11" i="70"/>
  <c r="EF11" i="70"/>
  <c r="EL11" i="70"/>
  <c r="CX12" i="70"/>
  <c r="DC12" i="70"/>
  <c r="DN12" i="70"/>
  <c r="DS12" i="70"/>
  <c r="CY13" i="70"/>
  <c r="BR13" i="70"/>
  <c r="CB13" i="70"/>
  <c r="CZ13" i="70"/>
  <c r="BE13" i="70" s="1"/>
  <c r="BS13" i="70"/>
  <c r="CC13" i="70" s="1"/>
  <c r="DG13" i="70"/>
  <c r="BD13" i="70" s="1"/>
  <c r="DH13" i="70"/>
  <c r="DO13" i="70"/>
  <c r="DP13" i="70"/>
  <c r="DW13" i="70"/>
  <c r="DX13" i="70"/>
  <c r="EE13" i="70"/>
  <c r="EF13" i="70"/>
  <c r="DD14" i="70"/>
  <c r="DL14" i="70"/>
  <c r="DT14" i="70"/>
  <c r="EB14" i="70"/>
  <c r="EJ14" i="70"/>
  <c r="BF15" i="70"/>
  <c r="BH15" i="70" s="1"/>
  <c r="CR15" i="70"/>
  <c r="CZ15" i="70"/>
  <c r="DF15" i="70"/>
  <c r="DK15" i="70"/>
  <c r="DP15" i="70"/>
  <c r="DV15" i="70"/>
  <c r="EL15" i="70"/>
  <c r="BA16" i="70"/>
  <c r="DB16" i="70"/>
  <c r="DR16" i="70"/>
  <c r="EH16" i="70"/>
  <c r="DB17" i="70"/>
  <c r="DJ17" i="70"/>
  <c r="DR17" i="70"/>
  <c r="DZ17" i="70"/>
  <c r="EH17" i="70"/>
  <c r="DB18" i="70"/>
  <c r="DC18" i="70"/>
  <c r="DJ18" i="70"/>
  <c r="DK18" i="70"/>
  <c r="DR18" i="70"/>
  <c r="DS18" i="70"/>
  <c r="DZ18" i="70"/>
  <c r="EA18" i="70"/>
  <c r="EH18" i="70"/>
  <c r="EI18" i="70"/>
  <c r="DB19" i="70"/>
  <c r="DC19" i="70"/>
  <c r="BT19" i="70"/>
  <c r="CM19" i="70" s="1"/>
  <c r="DD19" i="70"/>
  <c r="DR19" i="70"/>
  <c r="DS19" i="70"/>
  <c r="DT19" i="70"/>
  <c r="EH19" i="70"/>
  <c r="EI19" i="70"/>
  <c r="EJ19" i="70"/>
  <c r="CP21" i="70"/>
  <c r="CS21" i="70" s="1"/>
  <c r="DC21" i="70"/>
  <c r="DD21" i="70"/>
  <c r="DB21" i="70"/>
  <c r="BC21" i="70" s="1"/>
  <c r="EI21" i="70"/>
  <c r="EJ21" i="70"/>
  <c r="EH21" i="70"/>
  <c r="CZ22" i="70"/>
  <c r="DV22" i="70"/>
  <c r="DW22" i="70"/>
  <c r="EF22" i="70"/>
  <c r="CP24" i="70"/>
  <c r="CS24" i="70" s="1"/>
  <c r="CR24" i="70"/>
  <c r="CY25" i="70"/>
  <c r="BR25" i="70"/>
  <c r="CB25" i="70"/>
  <c r="CZ25" i="70"/>
  <c r="BS25" i="70"/>
  <c r="CC25" i="70"/>
  <c r="BT25" i="70"/>
  <c r="CM25" i="70"/>
  <c r="DF25" i="70"/>
  <c r="EE25" i="70"/>
  <c r="EF25" i="70"/>
  <c r="CR26" i="70"/>
  <c r="CP26" i="70"/>
  <c r="CS26" i="70" s="1"/>
  <c r="DV26" i="70"/>
  <c r="DW26" i="70"/>
  <c r="DX26" i="70"/>
  <c r="DV27" i="70"/>
  <c r="DX27" i="70"/>
  <c r="DK29" i="70"/>
  <c r="DL29" i="70"/>
  <c r="BE29" i="70" s="1"/>
  <c r="DJ29" i="70"/>
  <c r="BQ15" i="70"/>
  <c r="CA15" i="70" s="1"/>
  <c r="BG16" i="70"/>
  <c r="BH16" i="70"/>
  <c r="DJ19" i="70"/>
  <c r="DZ19" i="70"/>
  <c r="BG20" i="70"/>
  <c r="BH20" i="70" s="1"/>
  <c r="CZ20" i="70"/>
  <c r="DD20" i="70"/>
  <c r="DH20" i="70"/>
  <c r="DL20" i="70"/>
  <c r="DP20" i="70"/>
  <c r="DT20" i="70"/>
  <c r="DX20" i="70"/>
  <c r="EB20" i="70"/>
  <c r="EF20" i="70"/>
  <c r="BA21" i="70"/>
  <c r="BB21" i="70"/>
  <c r="CY21" i="70"/>
  <c r="BR21" i="70"/>
  <c r="CB21" i="70" s="1"/>
  <c r="CZ21" i="70"/>
  <c r="BS21" i="70"/>
  <c r="CC21" i="70"/>
  <c r="DG21" i="70"/>
  <c r="DH21" i="70"/>
  <c r="DO21" i="70"/>
  <c r="DP21" i="70"/>
  <c r="DW21" i="70"/>
  <c r="DX21" i="70"/>
  <c r="EE21" i="70"/>
  <c r="EF21" i="70"/>
  <c r="BF23" i="70"/>
  <c r="BH23" i="70"/>
  <c r="CZ23" i="70"/>
  <c r="DF23" i="70"/>
  <c r="DK23" i="70"/>
  <c r="DP23" i="70"/>
  <c r="DV23" i="70"/>
  <c r="EF23" i="70"/>
  <c r="EL23" i="70"/>
  <c r="DB26" i="70"/>
  <c r="DC26" i="70"/>
  <c r="DJ26" i="70"/>
  <c r="DK26" i="70"/>
  <c r="DR26" i="70"/>
  <c r="DS26" i="70"/>
  <c r="DZ26" i="70"/>
  <c r="EA26" i="70"/>
  <c r="EH26" i="70"/>
  <c r="EI26" i="70"/>
  <c r="DB27" i="70"/>
  <c r="DC27" i="70"/>
  <c r="BT27" i="70"/>
  <c r="CM27" i="70" s="1"/>
  <c r="DD27" i="70"/>
  <c r="DR27" i="70"/>
  <c r="DS27" i="70"/>
  <c r="DT27" i="70"/>
  <c r="EH27" i="70"/>
  <c r="EI27" i="70"/>
  <c r="EJ27" i="70"/>
  <c r="EA29" i="70"/>
  <c r="EB29" i="70"/>
  <c r="DZ29" i="70"/>
  <c r="DP30" i="70"/>
  <c r="DN30" i="70"/>
  <c r="DO30" i="70"/>
  <c r="DF31" i="70"/>
  <c r="DH31" i="70"/>
  <c r="DG31" i="70"/>
  <c r="DV31" i="70"/>
  <c r="DX31" i="70"/>
  <c r="DW31" i="70"/>
  <c r="CX19" i="70"/>
  <c r="BQ19" i="70"/>
  <c r="CA19" i="70"/>
  <c r="DN19" i="70"/>
  <c r="ED19" i="70"/>
  <c r="DB22" i="70"/>
  <c r="DC22" i="70"/>
  <c r="DJ22" i="70"/>
  <c r="DK22" i="70"/>
  <c r="DR22" i="70"/>
  <c r="DS22" i="70"/>
  <c r="DZ22" i="70"/>
  <c r="EA22" i="70"/>
  <c r="EH22" i="70"/>
  <c r="EI22" i="70"/>
  <c r="DD23" i="70"/>
  <c r="DJ23" i="70"/>
  <c r="DT23" i="70"/>
  <c r="DZ23" i="70"/>
  <c r="DC25" i="70"/>
  <c r="DD25" i="70"/>
  <c r="DK25" i="70"/>
  <c r="DL25" i="70"/>
  <c r="DS25" i="70"/>
  <c r="BD25" i="70" s="1"/>
  <c r="DT25" i="70"/>
  <c r="EA25" i="70"/>
  <c r="EB25" i="70"/>
  <c r="EI25" i="70"/>
  <c r="EJ25" i="70"/>
  <c r="CQ27" i="70"/>
  <c r="CO27" i="70"/>
  <c r="DC29" i="70"/>
  <c r="DD29" i="70"/>
  <c r="DB29" i="70"/>
  <c r="EI29" i="70"/>
  <c r="EJ29" i="70"/>
  <c r="EH29" i="70"/>
  <c r="BH30" i="70"/>
  <c r="ED30" i="70"/>
  <c r="EF30" i="70"/>
  <c r="EE30" i="70"/>
  <c r="BQ23" i="70"/>
  <c r="CA23" i="70" s="1"/>
  <c r="BG24" i="70"/>
  <c r="BH24" i="70" s="1"/>
  <c r="DJ27" i="70"/>
  <c r="DZ27" i="70"/>
  <c r="BG28" i="70"/>
  <c r="BH28" i="70"/>
  <c r="CZ28" i="70"/>
  <c r="DD28" i="70"/>
  <c r="DH28" i="70"/>
  <c r="DL28" i="70"/>
  <c r="BE28" i="70" s="1"/>
  <c r="DP28" i="70"/>
  <c r="DT28" i="70"/>
  <c r="DX28" i="70"/>
  <c r="EB28" i="70"/>
  <c r="EF28" i="70"/>
  <c r="BA29" i="70"/>
  <c r="BB29" i="70"/>
  <c r="CY29" i="70"/>
  <c r="BR29" i="70"/>
  <c r="CB29" i="70"/>
  <c r="CZ29" i="70"/>
  <c r="BS29" i="70"/>
  <c r="CC29" i="70"/>
  <c r="DG29" i="70"/>
  <c r="DH29" i="70"/>
  <c r="DO29" i="70"/>
  <c r="DP29" i="70"/>
  <c r="DW29" i="70"/>
  <c r="DX29" i="70"/>
  <c r="EE29" i="70"/>
  <c r="EF29" i="70"/>
  <c r="AE30" i="70"/>
  <c r="CO30" i="70"/>
  <c r="CQ30" i="70"/>
  <c r="H45" i="70"/>
  <c r="AR39" i="70" s="1"/>
  <c r="I39" i="70" s="1"/>
  <c r="CX27" i="70"/>
  <c r="BQ27" i="70"/>
  <c r="CA27" i="70"/>
  <c r="DN27" i="70"/>
  <c r="ED27" i="70"/>
  <c r="DS28" i="70"/>
  <c r="DW28" i="70"/>
  <c r="EA28" i="70"/>
  <c r="EE28" i="70"/>
  <c r="DD30" i="70"/>
  <c r="DC30" i="70"/>
  <c r="DT30" i="70"/>
  <c r="DS30" i="70"/>
  <c r="AW39" i="70"/>
  <c r="AY39" i="70"/>
  <c r="AX39" i="70"/>
  <c r="AX45" i="70"/>
  <c r="AR70" i="70"/>
  <c r="I70" i="70"/>
  <c r="AR66" i="70"/>
  <c r="I66" i="70"/>
  <c r="AR62" i="70"/>
  <c r="I62" i="70"/>
  <c r="AR68" i="70"/>
  <c r="I68" i="70" s="1"/>
  <c r="AR64" i="70"/>
  <c r="I64" i="70"/>
  <c r="AR69" i="70"/>
  <c r="I69" i="70"/>
  <c r="AR65" i="70"/>
  <c r="I65" i="70"/>
  <c r="AR61" i="70"/>
  <c r="I61" i="70" s="1"/>
  <c r="AR60" i="70"/>
  <c r="I60" i="70"/>
  <c r="AR59" i="70"/>
  <c r="I59" i="70"/>
  <c r="AR67" i="70"/>
  <c r="I67" i="70"/>
  <c r="AR63" i="70"/>
  <c r="I63" i="70" s="1"/>
  <c r="DH30" i="70"/>
  <c r="BE30" i="70" s="1"/>
  <c r="DJ30" i="70"/>
  <c r="DX30" i="70"/>
  <c r="DZ30" i="70"/>
  <c r="EH30" i="70"/>
  <c r="EJ30" i="70"/>
  <c r="DB31" i="70"/>
  <c r="DD31" i="70"/>
  <c r="DC31" i="70"/>
  <c r="BD31" i="70" s="1"/>
  <c r="DR31" i="70"/>
  <c r="DT31" i="70"/>
  <c r="DS31" i="70"/>
  <c r="EH31" i="70"/>
  <c r="EJ31" i="70"/>
  <c r="BE31" i="70" s="1"/>
  <c r="EI31" i="70"/>
  <c r="BB54" i="70"/>
  <c r="BC54" i="70"/>
  <c r="BC58" i="70" s="1"/>
  <c r="BB31" i="70"/>
  <c r="BA31" i="70"/>
  <c r="BH31" i="70"/>
  <c r="CX31" i="70"/>
  <c r="BQ31" i="70"/>
  <c r="CA31" i="70" s="1"/>
  <c r="CZ31" i="70"/>
  <c r="BS31" i="70"/>
  <c r="CC31" i="70" s="1"/>
  <c r="CY31" i="70"/>
  <c r="BR31" i="70"/>
  <c r="CB31" i="70"/>
  <c r="DN31" i="70"/>
  <c r="DP31" i="70"/>
  <c r="DO31" i="70"/>
  <c r="ED31" i="70"/>
  <c r="EF31" i="70"/>
  <c r="EE31" i="70"/>
  <c r="AW42" i="70"/>
  <c r="AY42" i="70"/>
  <c r="AX42" i="70"/>
  <c r="BC63" i="70"/>
  <c r="AW64" i="70"/>
  <c r="AY64" i="70"/>
  <c r="AX64" i="70"/>
  <c r="BB39" i="70"/>
  <c r="BB44" i="70"/>
  <c r="BC44" i="70"/>
  <c r="AW49" i="70"/>
  <c r="AY49" i="70" s="1"/>
  <c r="AX49" i="70"/>
  <c r="BB51" i="70"/>
  <c r="BC51" i="70"/>
  <c r="BB52" i="70"/>
  <c r="BC52" i="70"/>
  <c r="BB60" i="70"/>
  <c r="BC60" i="70"/>
  <c r="BB65" i="70"/>
  <c r="BC65" i="70"/>
  <c r="BB67" i="70"/>
  <c r="BB71" i="70" s="1"/>
  <c r="BB69" i="70"/>
  <c r="BC69" i="70"/>
  <c r="CO31" i="70"/>
  <c r="CP31" i="70" s="1"/>
  <c r="CS31" i="70" s="1"/>
  <c r="K58" i="70"/>
  <c r="BB46" i="70"/>
  <c r="BB48" i="70"/>
  <c r="BC48" i="70"/>
  <c r="BB53" i="70"/>
  <c r="BC53" i="70"/>
  <c r="AW55" i="70"/>
  <c r="AY55" i="70"/>
  <c r="AX55" i="70"/>
  <c r="K71" i="70"/>
  <c r="BB61" i="70"/>
  <c r="BC61" i="70"/>
  <c r="K72" i="70"/>
  <c r="K45" i="70"/>
  <c r="AW47" i="70"/>
  <c r="AY47" i="70"/>
  <c r="AX47" i="70"/>
  <c r="BB56" i="70"/>
  <c r="BC56" i="70"/>
  <c r="BB59" i="70"/>
  <c r="BC59" i="70"/>
  <c r="BB55" i="70"/>
  <c r="AW63" i="70"/>
  <c r="AY63" i="70"/>
  <c r="BB64" i="70"/>
  <c r="AW67" i="70"/>
  <c r="AY67" i="70" s="1"/>
  <c r="BB68" i="70"/>
  <c r="AX63" i="70"/>
  <c r="AX67" i="70"/>
  <c r="K60" i="67"/>
  <c r="K61" i="67"/>
  <c r="K62" i="67"/>
  <c r="K63" i="67"/>
  <c r="K64" i="67"/>
  <c r="K65" i="67"/>
  <c r="K66" i="67"/>
  <c r="K67" i="67"/>
  <c r="K68" i="67"/>
  <c r="K69" i="67"/>
  <c r="BB69" i="67" s="1"/>
  <c r="K70" i="67"/>
  <c r="K59" i="67"/>
  <c r="K47" i="67"/>
  <c r="K48" i="67"/>
  <c r="K49" i="67"/>
  <c r="K50" i="67"/>
  <c r="K51" i="67"/>
  <c r="K52" i="67"/>
  <c r="K58" i="67" s="1"/>
  <c r="K53" i="67"/>
  <c r="K54" i="67"/>
  <c r="K55" i="67"/>
  <c r="K56" i="67"/>
  <c r="K57" i="67"/>
  <c r="K46" i="67"/>
  <c r="K39" i="67"/>
  <c r="K40" i="67"/>
  <c r="K41" i="67"/>
  <c r="K42" i="67"/>
  <c r="K43" i="67"/>
  <c r="K44" i="67"/>
  <c r="K38" i="67"/>
  <c r="AR44" i="70"/>
  <c r="I44" i="70" s="1"/>
  <c r="AR42" i="70"/>
  <c r="I42" i="70" s="1"/>
  <c r="AR43" i="70"/>
  <c r="I43" i="70" s="1"/>
  <c r="AR38" i="70"/>
  <c r="I38" i="70" s="1"/>
  <c r="AR41" i="70"/>
  <c r="I41" i="70" s="1"/>
  <c r="BC19" i="70"/>
  <c r="BD21" i="70"/>
  <c r="BD10" i="70"/>
  <c r="BC15" i="70"/>
  <c r="BE8" i="70"/>
  <c r="BA27" i="70"/>
  <c r="BB27" i="70"/>
  <c r="BE24" i="70"/>
  <c r="BC14" i="70"/>
  <c r="BD12" i="70"/>
  <c r="BA30" i="70"/>
  <c r="BB30" i="70"/>
  <c r="BD22" i="70"/>
  <c r="BB24" i="70"/>
  <c r="BA24" i="70"/>
  <c r="BD17" i="70"/>
  <c r="CR31" i="70"/>
  <c r="BC31" i="70"/>
  <c r="AY31" i="70" s="1"/>
  <c r="BE25" i="70"/>
  <c r="BB12" i="70"/>
  <c r="BA12" i="70"/>
  <c r="BD18" i="70"/>
  <c r="BE12" i="70"/>
  <c r="BB4" i="70"/>
  <c r="BD8" i="70"/>
  <c r="AY8" i="70"/>
  <c r="BE20" i="70"/>
  <c r="CP30" i="70"/>
  <c r="CS30" i="70" s="1"/>
  <c r="CR30" i="70"/>
  <c r="CP27" i="70"/>
  <c r="CS27" i="70" s="1"/>
  <c r="CR27" i="70"/>
  <c r="BC10" i="70"/>
  <c r="C49" i="70"/>
  <c r="BE26" i="70"/>
  <c r="BC26" i="70"/>
  <c r="AY26" i="70" s="1"/>
  <c r="CP23" i="70"/>
  <c r="CS23" i="70" s="1"/>
  <c r="CR23" i="70"/>
  <c r="CP19" i="70"/>
  <c r="CS19" i="70"/>
  <c r="CR19" i="70"/>
  <c r="BE16" i="70"/>
  <c r="BD14" i="70"/>
  <c r="BA9" i="70"/>
  <c r="BB9" i="70"/>
  <c r="BA39" i="67"/>
  <c r="BB39" i="67" s="1"/>
  <c r="BA40" i="67"/>
  <c r="BB40" i="67" s="1"/>
  <c r="BA41" i="67"/>
  <c r="BB41" i="67" s="1"/>
  <c r="BA42" i="67"/>
  <c r="BC42" i="67" s="1"/>
  <c r="BA43" i="67"/>
  <c r="BC43" i="67" s="1"/>
  <c r="BA44" i="67"/>
  <c r="BC44" i="67" s="1"/>
  <c r="BA46" i="67"/>
  <c r="BC46" i="67"/>
  <c r="BA47" i="67"/>
  <c r="BC47" i="67"/>
  <c r="BA48" i="67"/>
  <c r="BC48" i="67" s="1"/>
  <c r="BA49" i="67"/>
  <c r="BB49" i="67" s="1"/>
  <c r="BA50" i="67"/>
  <c r="BB50" i="67"/>
  <c r="BA51" i="67"/>
  <c r="BA52" i="67"/>
  <c r="BB52" i="67" s="1"/>
  <c r="BA53" i="67"/>
  <c r="BB53" i="67" s="1"/>
  <c r="BA54" i="67"/>
  <c r="BB54" i="67"/>
  <c r="BA55" i="67"/>
  <c r="BB55" i="67"/>
  <c r="BA56" i="67"/>
  <c r="BC56" i="67"/>
  <c r="BA57" i="67"/>
  <c r="BC57" i="67" s="1"/>
  <c r="BA59" i="67"/>
  <c r="BC59" i="67" s="1"/>
  <c r="BA60" i="67"/>
  <c r="BB60" i="67"/>
  <c r="BA61" i="67"/>
  <c r="BA62" i="67"/>
  <c r="BA63" i="67"/>
  <c r="BB63" i="67" s="1"/>
  <c r="BA64" i="67"/>
  <c r="BC64" i="67"/>
  <c r="BA65" i="67"/>
  <c r="BC65" i="67"/>
  <c r="BA66" i="67"/>
  <c r="BC66" i="67"/>
  <c r="BA67" i="67"/>
  <c r="BC67" i="67" s="1"/>
  <c r="BA68" i="67"/>
  <c r="BC68" i="67"/>
  <c r="BA69" i="67"/>
  <c r="BC69" i="67" s="1"/>
  <c r="BA70" i="67"/>
  <c r="BC70" i="67" s="1"/>
  <c r="BA38" i="67"/>
  <c r="AV70" i="67"/>
  <c r="AV69" i="67"/>
  <c r="AW69" i="67" s="1"/>
  <c r="AY69" i="67" s="1"/>
  <c r="AV68" i="67"/>
  <c r="AX68" i="67" s="1"/>
  <c r="AV67" i="67"/>
  <c r="AW67" i="67" s="1"/>
  <c r="AY67" i="67" s="1"/>
  <c r="AV66" i="67"/>
  <c r="AW66" i="67" s="1"/>
  <c r="AY66" i="67" s="1"/>
  <c r="AV65" i="67"/>
  <c r="AW65" i="67" s="1"/>
  <c r="AY65" i="67" s="1"/>
  <c r="AV64" i="67"/>
  <c r="AV63" i="67"/>
  <c r="AV62" i="67"/>
  <c r="AV61" i="67"/>
  <c r="AX61" i="67" s="1"/>
  <c r="AV60" i="67"/>
  <c r="AV59" i="67"/>
  <c r="AX59" i="67" s="1"/>
  <c r="AV53" i="67"/>
  <c r="AX53" i="67" s="1"/>
  <c r="AV54" i="67"/>
  <c r="AW54" i="67" s="1"/>
  <c r="AY54" i="67" s="1"/>
  <c r="AV55" i="67"/>
  <c r="AV56" i="67"/>
  <c r="AV57" i="67"/>
  <c r="AV52" i="67"/>
  <c r="AV51" i="67"/>
  <c r="AW51" i="67" s="1"/>
  <c r="AY51" i="67" s="1"/>
  <c r="AV50" i="67"/>
  <c r="AX50" i="67" s="1"/>
  <c r="AV49" i="67"/>
  <c r="AV48" i="67"/>
  <c r="AV47" i="67"/>
  <c r="AV46" i="67"/>
  <c r="AV39" i="67"/>
  <c r="AV40" i="67"/>
  <c r="AW40" i="67" s="1"/>
  <c r="AY40" i="67" s="1"/>
  <c r="AV41" i="67"/>
  <c r="AV42" i="67"/>
  <c r="AX42" i="67" s="1"/>
  <c r="AV43" i="67"/>
  <c r="AW43" i="67" s="1"/>
  <c r="AY43" i="67" s="1"/>
  <c r="AV44" i="67"/>
  <c r="AX44" i="67" s="1"/>
  <c r="AV38" i="67"/>
  <c r="BB61" i="67"/>
  <c r="AX70" i="67"/>
  <c r="AW70" i="67"/>
  <c r="AY70" i="67" s="1"/>
  <c r="AX69" i="67"/>
  <c r="AW68" i="67"/>
  <c r="AY68" i="67" s="1"/>
  <c r="AX67" i="67"/>
  <c r="AX66" i="67"/>
  <c r="AX65" i="67"/>
  <c r="AX64" i="67"/>
  <c r="AW64" i="67"/>
  <c r="AY64" i="67" s="1"/>
  <c r="AX63" i="67"/>
  <c r="AW63" i="67"/>
  <c r="AY63" i="67"/>
  <c r="AX62" i="67"/>
  <c r="AW62" i="67"/>
  <c r="AY62" i="67" s="1"/>
  <c r="AW59" i="67"/>
  <c r="AY59" i="67" s="1"/>
  <c r="AW53" i="67"/>
  <c r="AY53" i="67" s="1"/>
  <c r="AW55" i="67"/>
  <c r="AY55" i="67" s="1"/>
  <c r="AX55" i="67"/>
  <c r="AW56" i="67"/>
  <c r="AY56" i="67" s="1"/>
  <c r="AX56" i="67"/>
  <c r="AW57" i="67"/>
  <c r="AY57" i="67" s="1"/>
  <c r="AX57" i="67"/>
  <c r="AX51" i="67"/>
  <c r="AW50" i="67"/>
  <c r="AY50" i="67" s="1"/>
  <c r="AX49" i="67"/>
  <c r="AW49" i="67"/>
  <c r="AY49" i="67"/>
  <c r="AX47" i="67"/>
  <c r="AW47" i="67"/>
  <c r="AY47" i="67" s="1"/>
  <c r="AX46" i="67"/>
  <c r="AW46" i="67"/>
  <c r="AY46" i="67" s="1"/>
  <c r="G45" i="67"/>
  <c r="AX39" i="67"/>
  <c r="AX41" i="67"/>
  <c r="AX43" i="67"/>
  <c r="AX38" i="67"/>
  <c r="AW39" i="67"/>
  <c r="AW41" i="67"/>
  <c r="AY41" i="67" s="1"/>
  <c r="AW42" i="67"/>
  <c r="AY42" i="67" s="1"/>
  <c r="AW38" i="67"/>
  <c r="AY38" i="67"/>
  <c r="AY39" i="67"/>
  <c r="G72" i="67"/>
  <c r="BB68" i="67"/>
  <c r="BB70" i="67"/>
  <c r="BC53" i="67"/>
  <c r="U6" i="67"/>
  <c r="BB57" i="67"/>
  <c r="BC55" i="67"/>
  <c r="BB66" i="67"/>
  <c r="BB59" i="67"/>
  <c r="BC52" i="67"/>
  <c r="BB65" i="67"/>
  <c r="BB64" i="67"/>
  <c r="BC60" i="67"/>
  <c r="BB48" i="67"/>
  <c r="BB47" i="67"/>
  <c r="BB46" i="67"/>
  <c r="BC61" i="67"/>
  <c r="BC49" i="67"/>
  <c r="BB67" i="67"/>
  <c r="BB56" i="67"/>
  <c r="BC54" i="67"/>
  <c r="BC50" i="67"/>
  <c r="K71" i="67"/>
  <c r="BC39" i="67"/>
  <c r="AV8" i="67"/>
  <c r="EQ19" i="67"/>
  <c r="EP19" i="67"/>
  <c r="EO19" i="67"/>
  <c r="EN19" i="67"/>
  <c r="EK19" i="67"/>
  <c r="EG19" i="67"/>
  <c r="EC19" i="67"/>
  <c r="DY19" i="67"/>
  <c r="DU19" i="67"/>
  <c r="DQ19" i="67"/>
  <c r="DM19" i="67"/>
  <c r="DN19" i="67" s="1"/>
  <c r="DI19" i="67"/>
  <c r="DJ19" i="67" s="1"/>
  <c r="DE19" i="67"/>
  <c r="DA19" i="67"/>
  <c r="CW19" i="67"/>
  <c r="CN19" i="67"/>
  <c r="CO19" i="67" s="1"/>
  <c r="BW19" i="67"/>
  <c r="BZ19" i="67"/>
  <c r="CF19" i="67" s="1"/>
  <c r="BV19" i="67"/>
  <c r="BY19" i="67"/>
  <c r="CE19" i="67" s="1"/>
  <c r="BU19" i="67"/>
  <c r="BX19" i="67" s="1"/>
  <c r="CD19" i="67" s="1"/>
  <c r="BN19" i="67"/>
  <c r="BO19" i="67" s="1"/>
  <c r="BP19" i="67" s="1"/>
  <c r="AV19" i="67"/>
  <c r="AU19" i="67"/>
  <c r="AO19" i="67"/>
  <c r="AN19" i="67"/>
  <c r="AM19" i="67"/>
  <c r="AL19" i="67"/>
  <c r="AK19" i="67"/>
  <c r="AJ19" i="67"/>
  <c r="AZ19" i="67"/>
  <c r="AI19" i="67"/>
  <c r="AH19" i="67"/>
  <c r="AG19" i="67"/>
  <c r="AF19" i="67"/>
  <c r="AD19" i="67"/>
  <c r="CZ19" i="67" s="1"/>
  <c r="AC19" i="67"/>
  <c r="AB19" i="67"/>
  <c r="U19" i="67"/>
  <c r="N19" i="67"/>
  <c r="M19" i="67"/>
  <c r="EQ18" i="67"/>
  <c r="EP18" i="67"/>
  <c r="EO18" i="67"/>
  <c r="EN18" i="67"/>
  <c r="EK18" i="67"/>
  <c r="EG18" i="67"/>
  <c r="EC18" i="67"/>
  <c r="DY18" i="67"/>
  <c r="EB18" i="67" s="1"/>
  <c r="DU18" i="67"/>
  <c r="DQ18" i="67"/>
  <c r="DM18" i="67"/>
  <c r="DI18" i="67"/>
  <c r="DJ18" i="67" s="1"/>
  <c r="DE18" i="67"/>
  <c r="DA18" i="67"/>
  <c r="CW18" i="67"/>
  <c r="CN18" i="67"/>
  <c r="BW18" i="67"/>
  <c r="BZ18" i="67"/>
  <c r="CF18" i="67" s="1"/>
  <c r="BV18" i="67"/>
  <c r="BY18" i="67"/>
  <c r="CE18" i="67" s="1"/>
  <c r="BU18" i="67"/>
  <c r="BX18" i="67" s="1"/>
  <c r="CD18" i="67" s="1"/>
  <c r="BN18" i="67"/>
  <c r="BO18" i="67" s="1"/>
  <c r="BP18" i="67" s="1"/>
  <c r="AV18" i="67"/>
  <c r="BG18" i="67" s="1"/>
  <c r="AU18" i="67"/>
  <c r="AO18" i="67"/>
  <c r="AN18" i="67"/>
  <c r="AM18" i="67"/>
  <c r="AL18" i="67"/>
  <c r="AK18" i="67"/>
  <c r="AJ18" i="67"/>
  <c r="AZ18" i="67"/>
  <c r="AI18" i="67"/>
  <c r="AH18" i="67"/>
  <c r="AG18" i="67"/>
  <c r="AF18" i="67"/>
  <c r="AD18" i="67"/>
  <c r="DX18" i="67" s="1"/>
  <c r="AC18" i="67"/>
  <c r="AB18" i="67"/>
  <c r="U18" i="67"/>
  <c r="DO18" i="67" s="1"/>
  <c r="N18" i="67"/>
  <c r="M18" i="67"/>
  <c r="BC41" i="67"/>
  <c r="BC40" i="67"/>
  <c r="BB42" i="67"/>
  <c r="BB43" i="67"/>
  <c r="BB44" i="67"/>
  <c r="CX19" i="67"/>
  <c r="DV19" i="67"/>
  <c r="EB19" i="67"/>
  <c r="ED19" i="67"/>
  <c r="DF19" i="67"/>
  <c r="DL19" i="67"/>
  <c r="DF18" i="67"/>
  <c r="DV18" i="67"/>
  <c r="DG18" i="67"/>
  <c r="DB18" i="67"/>
  <c r="DR18" i="67"/>
  <c r="DZ18" i="67"/>
  <c r="DR19" i="67"/>
  <c r="DZ19" i="67"/>
  <c r="CX18" i="67"/>
  <c r="DN18" i="67"/>
  <c r="ED18" i="67"/>
  <c r="BR19" i="67"/>
  <c r="CB19" i="67" s="1"/>
  <c r="DH19" i="67"/>
  <c r="EF19" i="67"/>
  <c r="CZ18" i="67"/>
  <c r="DL18" i="67"/>
  <c r="DP18" i="67"/>
  <c r="DT18" i="67"/>
  <c r="EF18" i="67"/>
  <c r="DG19" i="67"/>
  <c r="DK19" i="67"/>
  <c r="DO19" i="67"/>
  <c r="BQ18" i="67"/>
  <c r="CA18" i="67" s="1"/>
  <c r="EQ25" i="67"/>
  <c r="BG25" i="67" s="1"/>
  <c r="EP25" i="67"/>
  <c r="EO25" i="67"/>
  <c r="EN25" i="67"/>
  <c r="EK25" i="67"/>
  <c r="EG25" i="67"/>
  <c r="EC25" i="67"/>
  <c r="DY25" i="67"/>
  <c r="DU25" i="67"/>
  <c r="DQ25" i="67"/>
  <c r="DM25" i="67"/>
  <c r="DI25" i="67"/>
  <c r="DE25" i="67"/>
  <c r="DA25" i="67"/>
  <c r="BQ25" i="67" s="1"/>
  <c r="CW25" i="67"/>
  <c r="CN25" i="67"/>
  <c r="CQ25" i="67"/>
  <c r="BW25" i="67"/>
  <c r="BZ25" i="67" s="1"/>
  <c r="CF25" i="67"/>
  <c r="BV25" i="67"/>
  <c r="BY25" i="67" s="1"/>
  <c r="CE25" i="67" s="1"/>
  <c r="BU25" i="67"/>
  <c r="BX25" i="67"/>
  <c r="CD25" i="67" s="1"/>
  <c r="BN25" i="67"/>
  <c r="BO25" i="67"/>
  <c r="BP25" i="67"/>
  <c r="AV25" i="67"/>
  <c r="AU25" i="67"/>
  <c r="AO25" i="67"/>
  <c r="AN25" i="67"/>
  <c r="AM25" i="67"/>
  <c r="AL25" i="67"/>
  <c r="AK25" i="67"/>
  <c r="AJ25" i="67"/>
  <c r="AZ25" i="67"/>
  <c r="AI25" i="67"/>
  <c r="AH25" i="67"/>
  <c r="AG25" i="67"/>
  <c r="AF25" i="67"/>
  <c r="AD25" i="67"/>
  <c r="AC25" i="67"/>
  <c r="AB25" i="67"/>
  <c r="U25" i="67"/>
  <c r="N25" i="67"/>
  <c r="M25" i="67"/>
  <c r="EQ24" i="67"/>
  <c r="EP24" i="67"/>
  <c r="EO24" i="67"/>
  <c r="EN24" i="67"/>
  <c r="EK24" i="67"/>
  <c r="EG24" i="67"/>
  <c r="EC24" i="67"/>
  <c r="DY24" i="67"/>
  <c r="DU24" i="67"/>
  <c r="DQ24" i="67"/>
  <c r="DM24" i="67"/>
  <c r="DI24" i="67"/>
  <c r="DE24" i="67"/>
  <c r="DA24" i="67"/>
  <c r="CW24" i="67"/>
  <c r="CN24" i="67"/>
  <c r="CQ24" i="67"/>
  <c r="BW24" i="67"/>
  <c r="BZ24" i="67" s="1"/>
  <c r="CF24" i="67"/>
  <c r="BV24" i="67"/>
  <c r="BY24" i="67"/>
  <c r="CE24" i="67" s="1"/>
  <c r="BU24" i="67"/>
  <c r="BX24" i="67"/>
  <c r="CD24" i="67"/>
  <c r="BN24" i="67"/>
  <c r="BO24" i="67"/>
  <c r="BP24" i="67"/>
  <c r="AV24" i="67"/>
  <c r="AU24" i="67"/>
  <c r="AO24" i="67"/>
  <c r="AN24" i="67"/>
  <c r="AM24" i="67"/>
  <c r="AL24" i="67"/>
  <c r="AK24" i="67"/>
  <c r="AJ24" i="67"/>
  <c r="AZ24" i="67" s="1"/>
  <c r="AI24" i="67"/>
  <c r="AH24" i="67"/>
  <c r="AG24" i="67"/>
  <c r="AF24" i="67"/>
  <c r="AD24" i="67"/>
  <c r="AC24" i="67"/>
  <c r="AB24" i="67"/>
  <c r="U24" i="67"/>
  <c r="N24" i="67"/>
  <c r="M24" i="67"/>
  <c r="EQ23" i="67"/>
  <c r="EP23" i="67"/>
  <c r="EO23" i="67"/>
  <c r="EN23" i="67"/>
  <c r="EK23" i="67"/>
  <c r="EG23" i="67"/>
  <c r="EC23" i="67"/>
  <c r="DY23" i="67"/>
  <c r="DU23" i="67"/>
  <c r="DV23" i="67" s="1"/>
  <c r="DQ23" i="67"/>
  <c r="DM23" i="67"/>
  <c r="DI23" i="67"/>
  <c r="DK23" i="67" s="1"/>
  <c r="DE23" i="67"/>
  <c r="DA23" i="67"/>
  <c r="CW23" i="67"/>
  <c r="CN23" i="67"/>
  <c r="CQ23" i="67" s="1"/>
  <c r="BW23" i="67"/>
  <c r="BZ23" i="67"/>
  <c r="CF23" i="67" s="1"/>
  <c r="BV23" i="67"/>
  <c r="BY23" i="67" s="1"/>
  <c r="CE23" i="67"/>
  <c r="BU23" i="67"/>
  <c r="BX23" i="67"/>
  <c r="CD23" i="67" s="1"/>
  <c r="BN23" i="67"/>
  <c r="BO23" i="67" s="1"/>
  <c r="BP23" i="67" s="1"/>
  <c r="AV23" i="67"/>
  <c r="AU23" i="67"/>
  <c r="AO23" i="67"/>
  <c r="AN23" i="67"/>
  <c r="AM23" i="67"/>
  <c r="AL23" i="67"/>
  <c r="AK23" i="67"/>
  <c r="AJ23" i="67"/>
  <c r="AZ23" i="67" s="1"/>
  <c r="AI23" i="67"/>
  <c r="AH23" i="67"/>
  <c r="AG23" i="67"/>
  <c r="AF23" i="67"/>
  <c r="AD23" i="67"/>
  <c r="EJ23" i="67" s="1"/>
  <c r="AC23" i="67"/>
  <c r="AB23" i="67"/>
  <c r="U23" i="67"/>
  <c r="N23" i="67"/>
  <c r="DF23" i="67" s="1"/>
  <c r="M23" i="67"/>
  <c r="EQ22" i="67"/>
  <c r="BG22" i="67" s="1"/>
  <c r="EP22" i="67"/>
  <c r="EO22" i="67"/>
  <c r="EN22" i="67"/>
  <c r="EK22" i="67"/>
  <c r="EG22" i="67"/>
  <c r="EC22" i="67"/>
  <c r="DY22" i="67"/>
  <c r="DU22" i="67"/>
  <c r="DQ22" i="67"/>
  <c r="DM22" i="67"/>
  <c r="DI22" i="67"/>
  <c r="DE22" i="67"/>
  <c r="DA22" i="67"/>
  <c r="CW22" i="67"/>
  <c r="CY22" i="67" s="1"/>
  <c r="CN22" i="67"/>
  <c r="CO22" i="67"/>
  <c r="BW22" i="67"/>
  <c r="BZ22" i="67"/>
  <c r="CF22" i="67" s="1"/>
  <c r="BV22" i="67"/>
  <c r="BY22" i="67" s="1"/>
  <c r="CE22" i="67"/>
  <c r="BU22" i="67"/>
  <c r="BX22" i="67" s="1"/>
  <c r="CD22" i="67" s="1"/>
  <c r="BN22" i="67"/>
  <c r="BO22" i="67" s="1"/>
  <c r="BP22" i="67" s="1"/>
  <c r="AV22" i="67"/>
  <c r="AU22" i="67"/>
  <c r="AO22" i="67"/>
  <c r="AN22" i="67"/>
  <c r="AM22" i="67"/>
  <c r="AL22" i="67"/>
  <c r="AK22" i="67"/>
  <c r="AJ22" i="67"/>
  <c r="AZ22" i="67" s="1"/>
  <c r="AI22" i="67"/>
  <c r="AH22" i="67"/>
  <c r="AG22" i="67"/>
  <c r="AF22" i="67"/>
  <c r="AD22" i="67"/>
  <c r="DH22" i="67" s="1"/>
  <c r="AC22" i="67"/>
  <c r="AB22" i="67"/>
  <c r="U22" i="67"/>
  <c r="N22" i="67"/>
  <c r="M22" i="67"/>
  <c r="AC123" i="34"/>
  <c r="Y123" i="34"/>
  <c r="U123" i="34"/>
  <c r="AB123" i="34"/>
  <c r="R123" i="34"/>
  <c r="P123" i="34"/>
  <c r="T123" i="34" s="1"/>
  <c r="AA123" i="34" s="1"/>
  <c r="M123" i="34"/>
  <c r="L123" i="34"/>
  <c r="E123" i="34"/>
  <c r="AC122" i="34"/>
  <c r="Z122" i="34"/>
  <c r="N39" i="70" s="1"/>
  <c r="W122" i="34"/>
  <c r="N40" i="70" s="1"/>
  <c r="AA122" i="34"/>
  <c r="N38" i="70" s="1"/>
  <c r="R122" i="34"/>
  <c r="T122" i="34" s="1"/>
  <c r="Y122" i="34"/>
  <c r="F122" i="34"/>
  <c r="AC121" i="34"/>
  <c r="AC120" i="34"/>
  <c r="W120" i="34"/>
  <c r="U120" i="34"/>
  <c r="AB120" i="34"/>
  <c r="R120" i="34"/>
  <c r="Y120" i="34"/>
  <c r="Q120" i="34"/>
  <c r="X120" i="34" s="1"/>
  <c r="P120" i="34"/>
  <c r="M120" i="34"/>
  <c r="O120" i="34" s="1"/>
  <c r="L120" i="34"/>
  <c r="E120" i="34"/>
  <c r="AC119" i="34"/>
  <c r="AB119" i="34"/>
  <c r="W119" i="34"/>
  <c r="U119" i="34"/>
  <c r="R119" i="34"/>
  <c r="P119" i="34"/>
  <c r="M119" i="34"/>
  <c r="Q119" i="34"/>
  <c r="L119" i="34"/>
  <c r="E119" i="34"/>
  <c r="AC118" i="34"/>
  <c r="U118" i="34"/>
  <c r="AB118" i="34" s="1"/>
  <c r="R118" i="34"/>
  <c r="Y118" i="34" s="1"/>
  <c r="P118" i="34"/>
  <c r="M118" i="34"/>
  <c r="O118" i="34" s="1"/>
  <c r="L118" i="34"/>
  <c r="E118" i="34"/>
  <c r="AC117" i="34"/>
  <c r="Y117" i="34"/>
  <c r="U117" i="34"/>
  <c r="AB117" i="34"/>
  <c r="R117" i="34"/>
  <c r="S117" i="34" s="1"/>
  <c r="Z117" i="34" s="1"/>
  <c r="P117" i="34"/>
  <c r="T117" i="34"/>
  <c r="AA117" i="34" s="1"/>
  <c r="M117" i="34"/>
  <c r="Q117" i="34" s="1"/>
  <c r="X117" i="34" s="1"/>
  <c r="O117" i="34"/>
  <c r="L117" i="34"/>
  <c r="E117" i="34"/>
  <c r="AP59" i="67"/>
  <c r="AQ59" i="67"/>
  <c r="AP60" i="67"/>
  <c r="AQ60" i="67"/>
  <c r="AP61" i="67"/>
  <c r="AQ61" i="67"/>
  <c r="AP62" i="67"/>
  <c r="AQ62" i="67"/>
  <c r="AP63" i="67"/>
  <c r="AQ63" i="67"/>
  <c r="AP64" i="67"/>
  <c r="AQ64" i="67"/>
  <c r="AP65" i="67"/>
  <c r="AQ65" i="67"/>
  <c r="AP66" i="67"/>
  <c r="AQ66" i="67"/>
  <c r="AP67" i="67"/>
  <c r="AQ67" i="67"/>
  <c r="AP68" i="67"/>
  <c r="AQ68" i="67"/>
  <c r="AP69" i="67"/>
  <c r="AQ69" i="67"/>
  <c r="AP70" i="67"/>
  <c r="AQ70" i="67"/>
  <c r="AP46" i="67"/>
  <c r="AQ46" i="67"/>
  <c r="AQ58" i="67" s="1"/>
  <c r="AP47" i="67"/>
  <c r="AQ47" i="67"/>
  <c r="AP48" i="67"/>
  <c r="AQ48" i="67"/>
  <c r="AP49" i="67"/>
  <c r="AQ49" i="67"/>
  <c r="AP50" i="67"/>
  <c r="AQ50" i="67"/>
  <c r="AP51" i="67"/>
  <c r="AQ51" i="67"/>
  <c r="AP52" i="67"/>
  <c r="AQ52" i="67"/>
  <c r="AP53" i="67"/>
  <c r="AQ53" i="67"/>
  <c r="AP54" i="67"/>
  <c r="AQ54" i="67"/>
  <c r="AP55" i="67"/>
  <c r="AQ55" i="67"/>
  <c r="AP56" i="67"/>
  <c r="AQ56" i="67"/>
  <c r="AP57" i="67"/>
  <c r="AQ57" i="67"/>
  <c r="AP38" i="67"/>
  <c r="AQ38" i="67"/>
  <c r="AP39" i="67"/>
  <c r="AQ39" i="67"/>
  <c r="AP40" i="67"/>
  <c r="AQ40" i="67"/>
  <c r="AP41" i="67"/>
  <c r="AQ41" i="67"/>
  <c r="AP42" i="67"/>
  <c r="AQ42" i="67"/>
  <c r="AP43" i="67"/>
  <c r="AQ43" i="67"/>
  <c r="AP44" i="67"/>
  <c r="AQ44" i="67"/>
  <c r="EJ25" i="67"/>
  <c r="BT23" i="67"/>
  <c r="CM23" i="67" s="1"/>
  <c r="BR25" i="67"/>
  <c r="CB25" i="67" s="1"/>
  <c r="CA25" i="67"/>
  <c r="EB22" i="67"/>
  <c r="CY23" i="67"/>
  <c r="DN23" i="67"/>
  <c r="DH25" i="67"/>
  <c r="EL23" i="67"/>
  <c r="BG23" i="67"/>
  <c r="BF22" i="67"/>
  <c r="BH22" i="67" s="1"/>
  <c r="EA23" i="67"/>
  <c r="CZ22" i="67"/>
  <c r="EF22" i="67"/>
  <c r="DT22" i="67"/>
  <c r="AE23" i="67"/>
  <c r="BA23" i="67"/>
  <c r="EE23" i="67"/>
  <c r="DP25" i="67"/>
  <c r="EF25" i="67"/>
  <c r="BQ23" i="67"/>
  <c r="CA23" i="67" s="1"/>
  <c r="DG23" i="67"/>
  <c r="DS23" i="67"/>
  <c r="BF24" i="67"/>
  <c r="EL22" i="67"/>
  <c r="CY24" i="67"/>
  <c r="EE24" i="67"/>
  <c r="DD25" i="67"/>
  <c r="DL25" i="67"/>
  <c r="DT25" i="67"/>
  <c r="EB25" i="67"/>
  <c r="DG22" i="67"/>
  <c r="DC24" i="67"/>
  <c r="EI24" i="67"/>
  <c r="AE25" i="67"/>
  <c r="BB25" i="67"/>
  <c r="CX25" i="67"/>
  <c r="BR22" i="67"/>
  <c r="CB22" i="67" s="1"/>
  <c r="DL22" i="67"/>
  <c r="EE22" i="67"/>
  <c r="BF23" i="67"/>
  <c r="BH23" i="67" s="1"/>
  <c r="BR23" i="67"/>
  <c r="CB23" i="67"/>
  <c r="CX23" i="67"/>
  <c r="DW23" i="67"/>
  <c r="ED23" i="67"/>
  <c r="BT24" i="67"/>
  <c r="CM24" i="67"/>
  <c r="DG24" i="67"/>
  <c r="DW24" i="67"/>
  <c r="EL24" i="67"/>
  <c r="BS25" i="67"/>
  <c r="CC25" i="67"/>
  <c r="CZ25" i="67"/>
  <c r="DO22" i="67"/>
  <c r="DO24" i="67"/>
  <c r="DS24" i="67"/>
  <c r="DF25" i="67"/>
  <c r="DN25" i="67"/>
  <c r="ED25" i="67"/>
  <c r="EL25" i="67"/>
  <c r="AE22" i="67"/>
  <c r="BB22" i="67"/>
  <c r="BT22" i="67"/>
  <c r="CM22" i="67" s="1"/>
  <c r="DD22" i="67"/>
  <c r="DP22" i="67"/>
  <c r="EJ22" i="67"/>
  <c r="BS23" i="67"/>
  <c r="CC23" i="67" s="1"/>
  <c r="DC23" i="67"/>
  <c r="BD23" i="67" s="1"/>
  <c r="DO23" i="67"/>
  <c r="EI23" i="67"/>
  <c r="AE24" i="67"/>
  <c r="BB24" i="67" s="1"/>
  <c r="DK24" i="67"/>
  <c r="EA24" i="67"/>
  <c r="BT25" i="67"/>
  <c r="CM25" i="67"/>
  <c r="DB25" i="67"/>
  <c r="DJ25" i="67"/>
  <c r="DR25" i="67"/>
  <c r="DZ25" i="67"/>
  <c r="EH25" i="67"/>
  <c r="CO23" i="67"/>
  <c r="CR23" i="67" s="1"/>
  <c r="DC22" i="67"/>
  <c r="DK22" i="67"/>
  <c r="DS22" i="67"/>
  <c r="EA22" i="67"/>
  <c r="EI22" i="67"/>
  <c r="DB23" i="67"/>
  <c r="DJ23" i="67"/>
  <c r="DR23" i="67"/>
  <c r="DZ23" i="67"/>
  <c r="EH23" i="67"/>
  <c r="CO25" i="67"/>
  <c r="CP25" i="67"/>
  <c r="CS25" i="67" s="1"/>
  <c r="AP71" i="67"/>
  <c r="H71" i="67" s="1"/>
  <c r="AQ71" i="67"/>
  <c r="AQ45" i="67"/>
  <c r="BQ22" i="67"/>
  <c r="CA22" i="67" s="1"/>
  <c r="CQ22" i="67"/>
  <c r="CX22" i="67"/>
  <c r="DB22" i="67"/>
  <c r="DF22" i="67"/>
  <c r="DJ22" i="67"/>
  <c r="DN22" i="67"/>
  <c r="DR22" i="67"/>
  <c r="DZ22" i="67"/>
  <c r="ED22" i="67"/>
  <c r="EH22" i="67"/>
  <c r="BS24" i="67"/>
  <c r="CC24" i="67" s="1"/>
  <c r="CO24" i="67"/>
  <c r="CZ24" i="67"/>
  <c r="DD24" i="67"/>
  <c r="DH24" i="67"/>
  <c r="BE24" i="67" s="1"/>
  <c r="DL24" i="67"/>
  <c r="DP24" i="67"/>
  <c r="DT24" i="67"/>
  <c r="DX24" i="67"/>
  <c r="EB24" i="67"/>
  <c r="EF24" i="67"/>
  <c r="EJ24" i="67"/>
  <c r="CY25" i="67"/>
  <c r="DC25" i="67"/>
  <c r="DG25" i="67"/>
  <c r="DK25" i="67"/>
  <c r="DO25" i="67"/>
  <c r="DS25" i="67"/>
  <c r="EA25" i="67"/>
  <c r="EE25" i="67"/>
  <c r="EI25" i="67"/>
  <c r="BS22" i="67"/>
  <c r="CC22" i="67" s="1"/>
  <c r="BQ24" i="67"/>
  <c r="CA24" i="67"/>
  <c r="CX24" i="67"/>
  <c r="DB24" i="67"/>
  <c r="DF24" i="67"/>
  <c r="BC24" i="67" s="1"/>
  <c r="DJ24" i="67"/>
  <c r="DN24" i="67"/>
  <c r="DR24" i="67"/>
  <c r="DV24" i="67"/>
  <c r="DZ24" i="67"/>
  <c r="ED24" i="67"/>
  <c r="EH24" i="67"/>
  <c r="BF25" i="67"/>
  <c r="BH25" i="67" s="1"/>
  <c r="CZ23" i="67"/>
  <c r="DD23" i="67"/>
  <c r="DH23" i="67"/>
  <c r="DL23" i="67"/>
  <c r="DP23" i="67"/>
  <c r="DT23" i="67"/>
  <c r="DX23" i="67"/>
  <c r="EB23" i="67"/>
  <c r="BE23" i="67" s="1"/>
  <c r="EF23" i="67"/>
  <c r="BR24" i="67"/>
  <c r="CB24" i="67" s="1"/>
  <c r="O119" i="34"/>
  <c r="W117" i="34"/>
  <c r="T119" i="34"/>
  <c r="AA119" i="34" s="1"/>
  <c r="Y119" i="34"/>
  <c r="S120" i="34"/>
  <c r="Z120" i="34" s="1"/>
  <c r="AB122" i="34"/>
  <c r="N55" i="70" s="1"/>
  <c r="W123" i="34"/>
  <c r="T120" i="34"/>
  <c r="AA120" i="34"/>
  <c r="BN5" i="67"/>
  <c r="BO5" i="67" s="1"/>
  <c r="BP5" i="67"/>
  <c r="BN6" i="67"/>
  <c r="BO6" i="67"/>
  <c r="BP6" i="67" s="1"/>
  <c r="BN7" i="67"/>
  <c r="BO7" i="67"/>
  <c r="BP7" i="67" s="1"/>
  <c r="BN8" i="67"/>
  <c r="BO8" i="67"/>
  <c r="BP8" i="67" s="1"/>
  <c r="BN9" i="67"/>
  <c r="BO9" i="67" s="1"/>
  <c r="BP9" i="67" s="1"/>
  <c r="BN10" i="67"/>
  <c r="BO10" i="67" s="1"/>
  <c r="BP10" i="67" s="1"/>
  <c r="BN11" i="67"/>
  <c r="BO11" i="67" s="1"/>
  <c r="BP11" i="67" s="1"/>
  <c r="BN12" i="67"/>
  <c r="BO12" i="67" s="1"/>
  <c r="BP12" i="67" s="1"/>
  <c r="BN13" i="67"/>
  <c r="BO13" i="67" s="1"/>
  <c r="BP13" i="67"/>
  <c r="BN14" i="67"/>
  <c r="BO14" i="67"/>
  <c r="BP14" i="67" s="1"/>
  <c r="BN15" i="67"/>
  <c r="BO15" i="67"/>
  <c r="BP15" i="67" s="1"/>
  <c r="BN16" i="67"/>
  <c r="BO16" i="67"/>
  <c r="BP16" i="67" s="1"/>
  <c r="BN17" i="67"/>
  <c r="BO17" i="67" s="1"/>
  <c r="BP17" i="67" s="1"/>
  <c r="BN20" i="67"/>
  <c r="BO20" i="67" s="1"/>
  <c r="BP20" i="67" s="1"/>
  <c r="BN21" i="67"/>
  <c r="BO21" i="67" s="1"/>
  <c r="BP21" i="67" s="1"/>
  <c r="BN26" i="67"/>
  <c r="BO26" i="67" s="1"/>
  <c r="BP26" i="67" s="1"/>
  <c r="BN27" i="67"/>
  <c r="BO27" i="67" s="1"/>
  <c r="BP27" i="67"/>
  <c r="BN28" i="67"/>
  <c r="BO28" i="67"/>
  <c r="BP28" i="67" s="1"/>
  <c r="BN29" i="67"/>
  <c r="BO29" i="67"/>
  <c r="BP29" i="67" s="1"/>
  <c r="BN30" i="67"/>
  <c r="BO30" i="67"/>
  <c r="BP30" i="67" s="1"/>
  <c r="BN31" i="67"/>
  <c r="BO31" i="67" s="1"/>
  <c r="BP31" i="67" s="1"/>
  <c r="BN4" i="67"/>
  <c r="BO4" i="67" s="1"/>
  <c r="BP4" i="67" s="1"/>
  <c r="BP32" i="67" s="1"/>
  <c r="BA24" i="67"/>
  <c r="BB23" i="67"/>
  <c r="BA22" i="67"/>
  <c r="CR25" i="67"/>
  <c r="BA25" i="67"/>
  <c r="CR24" i="67"/>
  <c r="CP24" i="67"/>
  <c r="CS24" i="67" s="1"/>
  <c r="CN5" i="67"/>
  <c r="CQ5" i="67"/>
  <c r="CN6" i="67"/>
  <c r="CO6" i="67" s="1"/>
  <c r="CN7" i="67"/>
  <c r="CQ7" i="67" s="1"/>
  <c r="CN8" i="67"/>
  <c r="CO8" i="67"/>
  <c r="CP8" i="67" s="1"/>
  <c r="CS8" i="67" s="1"/>
  <c r="CN9" i="67"/>
  <c r="CQ9" i="67" s="1"/>
  <c r="CN10" i="67"/>
  <c r="CN11" i="67"/>
  <c r="CQ11" i="67"/>
  <c r="CN12" i="67"/>
  <c r="CO12" i="67"/>
  <c r="CP12" i="67" s="1"/>
  <c r="CS12" i="67" s="1"/>
  <c r="CN13" i="67"/>
  <c r="CO13" i="67" s="1"/>
  <c r="CR13" i="67" s="1"/>
  <c r="CN14" i="67"/>
  <c r="CQ14" i="67"/>
  <c r="CN15" i="67"/>
  <c r="CQ15" i="67"/>
  <c r="CN16" i="67"/>
  <c r="CO16" i="67" s="1"/>
  <c r="CP16" i="67" s="1"/>
  <c r="CS16" i="67" s="1"/>
  <c r="CN17" i="67"/>
  <c r="CQ17" i="67"/>
  <c r="CN20" i="67"/>
  <c r="CQ20" i="67"/>
  <c r="CN21" i="67"/>
  <c r="CQ21" i="67" s="1"/>
  <c r="CN26" i="67"/>
  <c r="CN27" i="67"/>
  <c r="CQ27" i="67"/>
  <c r="CN28" i="67"/>
  <c r="CO28" i="67" s="1"/>
  <c r="CN29" i="67"/>
  <c r="CQ29" i="67" s="1"/>
  <c r="CN30" i="67"/>
  <c r="CO30" i="67"/>
  <c r="CP30" i="67" s="1"/>
  <c r="CS30" i="67" s="1"/>
  <c r="CN31" i="67"/>
  <c r="CN4" i="67"/>
  <c r="CQ4" i="67" s="1"/>
  <c r="BU5" i="67"/>
  <c r="BX5" i="67"/>
  <c r="CD5" i="67" s="1"/>
  <c r="BV5" i="67"/>
  <c r="BY5" i="67" s="1"/>
  <c r="BW5" i="67"/>
  <c r="BZ5" i="67" s="1"/>
  <c r="CF5" i="67" s="1"/>
  <c r="BU6" i="67"/>
  <c r="BX6" i="67"/>
  <c r="CD6" i="67"/>
  <c r="BV6" i="67"/>
  <c r="BY6" i="67" s="1"/>
  <c r="CE6" i="67"/>
  <c r="BW6" i="67"/>
  <c r="BZ6" i="67"/>
  <c r="CF6" i="67" s="1"/>
  <c r="BU7" i="67"/>
  <c r="BX7" i="67"/>
  <c r="CD7" i="67"/>
  <c r="BV7" i="67"/>
  <c r="BY7" i="67"/>
  <c r="CE7" i="67" s="1"/>
  <c r="BW7" i="67"/>
  <c r="BZ7" i="67"/>
  <c r="CF7" i="67" s="1"/>
  <c r="BU8" i="67"/>
  <c r="BX8" i="67"/>
  <c r="CD8" i="67" s="1"/>
  <c r="BV8" i="67"/>
  <c r="BY8" i="67" s="1"/>
  <c r="CE8" i="67" s="1"/>
  <c r="BW8" i="67"/>
  <c r="BZ8" i="67" s="1"/>
  <c r="CF8" i="67" s="1"/>
  <c r="BU9" i="67"/>
  <c r="BX9" i="67" s="1"/>
  <c r="CD9" i="67"/>
  <c r="BV9" i="67"/>
  <c r="BY9" i="67"/>
  <c r="CE9" i="67" s="1"/>
  <c r="BW9" i="67"/>
  <c r="BZ9" i="67" s="1"/>
  <c r="CF9" i="67" s="1"/>
  <c r="BU10" i="67"/>
  <c r="BX10" i="67"/>
  <c r="CD10" i="67" s="1"/>
  <c r="BV10" i="67"/>
  <c r="BY10" i="67"/>
  <c r="CE10" i="67" s="1"/>
  <c r="BW10" i="67"/>
  <c r="BZ10" i="67" s="1"/>
  <c r="CF10" i="67" s="1"/>
  <c r="BU11" i="67"/>
  <c r="BX11" i="67" s="1"/>
  <c r="CD11" i="67" s="1"/>
  <c r="BV11" i="67"/>
  <c r="BY11" i="67"/>
  <c r="CE11" i="67"/>
  <c r="BW11" i="67"/>
  <c r="BZ11" i="67" s="1"/>
  <c r="CF11" i="67"/>
  <c r="BU12" i="67"/>
  <c r="BX12" i="67"/>
  <c r="CD12" i="67" s="1"/>
  <c r="BV12" i="67"/>
  <c r="BY12" i="67" s="1"/>
  <c r="CE12" i="67"/>
  <c r="BW12" i="67"/>
  <c r="BZ12" i="67"/>
  <c r="CF12" i="67" s="1"/>
  <c r="BU13" i="67"/>
  <c r="BX13" i="67"/>
  <c r="CD13" i="67" s="1"/>
  <c r="BV13" i="67"/>
  <c r="BY13" i="67" s="1"/>
  <c r="CE13" i="67" s="1"/>
  <c r="BW13" i="67"/>
  <c r="BZ13" i="67" s="1"/>
  <c r="CF13" i="67" s="1"/>
  <c r="BU14" i="67"/>
  <c r="BX14" i="67" s="1"/>
  <c r="CD14" i="67" s="1"/>
  <c r="BV14" i="67"/>
  <c r="BY14" i="67" s="1"/>
  <c r="CE14" i="67"/>
  <c r="BW14" i="67"/>
  <c r="BZ14" i="67"/>
  <c r="CF14" i="67" s="1"/>
  <c r="BU15" i="67"/>
  <c r="BX15" i="67" s="1"/>
  <c r="CD15" i="67" s="1"/>
  <c r="BV15" i="67"/>
  <c r="BY15" i="67"/>
  <c r="CE15" i="67" s="1"/>
  <c r="BW15" i="67"/>
  <c r="BZ15" i="67"/>
  <c r="CF15" i="67" s="1"/>
  <c r="BU16" i="67"/>
  <c r="BX16" i="67" s="1"/>
  <c r="CD16" i="67" s="1"/>
  <c r="BV16" i="67"/>
  <c r="BY16" i="67" s="1"/>
  <c r="CE16" i="67" s="1"/>
  <c r="BW16" i="67"/>
  <c r="BZ16" i="67" s="1"/>
  <c r="CF16" i="67" s="1"/>
  <c r="BU17" i="67"/>
  <c r="BX17" i="67" s="1"/>
  <c r="CD17" i="67"/>
  <c r="BV17" i="67"/>
  <c r="BY17" i="67"/>
  <c r="CE17" i="67" s="1"/>
  <c r="BW17" i="67"/>
  <c r="BZ17" i="67" s="1"/>
  <c r="CF17" i="67" s="1"/>
  <c r="BU20" i="67"/>
  <c r="BX20" i="67"/>
  <c r="CD20" i="67" s="1"/>
  <c r="BV20" i="67"/>
  <c r="BY20" i="67" s="1"/>
  <c r="CE20" i="67" s="1"/>
  <c r="BW20" i="67"/>
  <c r="BZ20" i="67"/>
  <c r="CF20" i="67" s="1"/>
  <c r="BU21" i="67"/>
  <c r="BX21" i="67"/>
  <c r="CD21" i="67" s="1"/>
  <c r="BV21" i="67"/>
  <c r="BY21" i="67" s="1"/>
  <c r="CE21" i="67" s="1"/>
  <c r="BW21" i="67"/>
  <c r="BZ21" i="67" s="1"/>
  <c r="CF21" i="67"/>
  <c r="BU26" i="67"/>
  <c r="BX26" i="67"/>
  <c r="CD26" i="67" s="1"/>
  <c r="BV26" i="67"/>
  <c r="BY26" i="67" s="1"/>
  <c r="CE26" i="67" s="1"/>
  <c r="BW26" i="67"/>
  <c r="BZ26" i="67"/>
  <c r="CF26" i="67" s="1"/>
  <c r="BU27" i="67"/>
  <c r="BX27" i="67" s="1"/>
  <c r="CD27" i="67" s="1"/>
  <c r="BV27" i="67"/>
  <c r="BY27" i="67"/>
  <c r="CE27" i="67" s="1"/>
  <c r="BW27" i="67"/>
  <c r="BZ27" i="67"/>
  <c r="CF27" i="67" s="1"/>
  <c r="BU28" i="67"/>
  <c r="BX28" i="67" s="1"/>
  <c r="CD28" i="67" s="1"/>
  <c r="BV28" i="67"/>
  <c r="BY28" i="67" s="1"/>
  <c r="CE28" i="67"/>
  <c r="BW28" i="67"/>
  <c r="BZ28" i="67"/>
  <c r="CF28" i="67" s="1"/>
  <c r="BU29" i="67"/>
  <c r="BX29" i="67" s="1"/>
  <c r="CD29" i="67" s="1"/>
  <c r="BV29" i="67"/>
  <c r="BY29" i="67"/>
  <c r="CE29" i="67" s="1"/>
  <c r="BW29" i="67"/>
  <c r="BZ29" i="67" s="1"/>
  <c r="CF29" i="67" s="1"/>
  <c r="BU30" i="67"/>
  <c r="BX30" i="67"/>
  <c r="CD30" i="67" s="1"/>
  <c r="BV30" i="67"/>
  <c r="BY30" i="67"/>
  <c r="CE30" i="67" s="1"/>
  <c r="BW30" i="67"/>
  <c r="BZ30" i="67" s="1"/>
  <c r="CF30" i="67" s="1"/>
  <c r="BU31" i="67"/>
  <c r="BX31" i="67" s="1"/>
  <c r="CD31" i="67"/>
  <c r="BV31" i="67"/>
  <c r="BY31" i="67"/>
  <c r="CE31" i="67" s="1"/>
  <c r="BW31" i="67"/>
  <c r="BZ31" i="67" s="1"/>
  <c r="CF31" i="67" s="1"/>
  <c r="BW4" i="67"/>
  <c r="BZ4" i="67"/>
  <c r="BZ32" i="67" s="1"/>
  <c r="BV4" i="67"/>
  <c r="BY4" i="67"/>
  <c r="CE4" i="67" s="1"/>
  <c r="BU4" i="67"/>
  <c r="BX4" i="67"/>
  <c r="BX32" i="67" s="1"/>
  <c r="AR65" i="67"/>
  <c r="I65" i="67"/>
  <c r="AR60" i="67"/>
  <c r="I60" i="67"/>
  <c r="AR64" i="67"/>
  <c r="I64" i="67" s="1"/>
  <c r="C54" i="67"/>
  <c r="AR67" i="67"/>
  <c r="I67" i="67" s="1"/>
  <c r="AR68" i="67"/>
  <c r="I68" i="67"/>
  <c r="AR66" i="67"/>
  <c r="I66" i="67" s="1"/>
  <c r="AR59" i="67"/>
  <c r="I59" i="67"/>
  <c r="AR70" i="67"/>
  <c r="I70" i="67" s="1"/>
  <c r="CF4" i="67"/>
  <c r="CF32" i="67" s="1"/>
  <c r="CE32" i="67"/>
  <c r="CO20" i="67"/>
  <c r="CP20" i="67"/>
  <c r="CS20" i="67" s="1"/>
  <c r="CO7" i="67"/>
  <c r="CP7" i="67" s="1"/>
  <c r="CS7" i="67" s="1"/>
  <c r="CO15" i="67"/>
  <c r="CP15" i="67" s="1"/>
  <c r="CS15" i="67" s="1"/>
  <c r="CO9" i="67"/>
  <c r="CO17" i="67"/>
  <c r="CP17" i="67"/>
  <c r="CS17" i="67" s="1"/>
  <c r="CR28" i="67"/>
  <c r="CP28" i="67"/>
  <c r="CS28" i="67" s="1"/>
  <c r="CP13" i="67"/>
  <c r="CS13" i="67"/>
  <c r="CR6" i="67"/>
  <c r="CP6" i="67"/>
  <c r="CS6" i="67" s="1"/>
  <c r="CO27" i="67"/>
  <c r="CR27" i="67" s="1"/>
  <c r="CO21" i="67"/>
  <c r="CP21" i="67" s="1"/>
  <c r="CS21" i="67" s="1"/>
  <c r="CO14" i="67"/>
  <c r="CP14" i="67" s="1"/>
  <c r="CS14" i="67" s="1"/>
  <c r="CO5" i="67"/>
  <c r="CQ6" i="67"/>
  <c r="CQ28" i="67"/>
  <c r="CQ13" i="67"/>
  <c r="CO4" i="67"/>
  <c r="CO11" i="67"/>
  <c r="CQ8" i="67"/>
  <c r="CQ12" i="67"/>
  <c r="CQ16" i="67"/>
  <c r="CQ30" i="67"/>
  <c r="CR12" i="67"/>
  <c r="CR16" i="67"/>
  <c r="CR30" i="67"/>
  <c r="O54" i="67"/>
  <c r="P54" i="67" s="1"/>
  <c r="CR20" i="67"/>
  <c r="CR7" i="67"/>
  <c r="CR17" i="67"/>
  <c r="CP5" i="67"/>
  <c r="CS5" i="67"/>
  <c r="CR5" i="67"/>
  <c r="CR4" i="67"/>
  <c r="CP4" i="67"/>
  <c r="CS4" i="67"/>
  <c r="CP27" i="67"/>
  <c r="CS27" i="67" s="1"/>
  <c r="CP11" i="67"/>
  <c r="CS11" i="67" s="1"/>
  <c r="CR11" i="67"/>
  <c r="CR14" i="67"/>
  <c r="D73" i="34"/>
  <c r="BS10" i="70" s="1"/>
  <c r="CC10" i="70" s="1"/>
  <c r="C73" i="34"/>
  <c r="BR10" i="70" s="1"/>
  <c r="CB10" i="70" s="1"/>
  <c r="B73" i="34"/>
  <c r="BQ10" i="70" s="1"/>
  <c r="CA10" i="70" s="1"/>
  <c r="L81" i="34"/>
  <c r="K81" i="34"/>
  <c r="J81" i="34"/>
  <c r="M81" i="34" s="1"/>
  <c r="I81" i="34"/>
  <c r="L83" i="34"/>
  <c r="K83" i="34"/>
  <c r="J83" i="34"/>
  <c r="I83" i="34"/>
  <c r="M83" i="34" s="1"/>
  <c r="L68" i="34"/>
  <c r="K68" i="34"/>
  <c r="J68" i="34"/>
  <c r="I68" i="34"/>
  <c r="L67" i="34"/>
  <c r="K67" i="34"/>
  <c r="J67" i="34"/>
  <c r="I67" i="34"/>
  <c r="M67" i="34"/>
  <c r="BT12" i="67" s="1"/>
  <c r="CM12" i="67" s="1"/>
  <c r="L66" i="34"/>
  <c r="K66" i="34"/>
  <c r="J66" i="34"/>
  <c r="I66" i="34"/>
  <c r="M66" i="34" s="1"/>
  <c r="L65" i="34"/>
  <c r="K65" i="34"/>
  <c r="J65" i="34"/>
  <c r="M65" i="34" s="1"/>
  <c r="I65" i="34"/>
  <c r="L64" i="34"/>
  <c r="K64" i="34"/>
  <c r="J64" i="34"/>
  <c r="I64" i="34"/>
  <c r="M64" i="34" s="1"/>
  <c r="L63" i="34"/>
  <c r="K63" i="34"/>
  <c r="J63" i="34"/>
  <c r="I63" i="34"/>
  <c r="M63" i="34" s="1"/>
  <c r="L62" i="34"/>
  <c r="K62" i="34"/>
  <c r="J62" i="34"/>
  <c r="I62" i="34"/>
  <c r="M62" i="34" s="1"/>
  <c r="L61" i="34"/>
  <c r="K61" i="34"/>
  <c r="M61" i="34" s="1"/>
  <c r="J61" i="34"/>
  <c r="I61" i="34"/>
  <c r="L60" i="34"/>
  <c r="K60" i="34"/>
  <c r="M60" i="34" s="1"/>
  <c r="J60" i="34"/>
  <c r="I60" i="34"/>
  <c r="Z32" i="67"/>
  <c r="Y32" i="67"/>
  <c r="W32" i="67"/>
  <c r="V32" i="67"/>
  <c r="T32" i="67"/>
  <c r="S32" i="67"/>
  <c r="R32" i="67"/>
  <c r="K32" i="67"/>
  <c r="J32" i="67"/>
  <c r="H32" i="67"/>
  <c r="F32" i="67"/>
  <c r="C32" i="67"/>
  <c r="A32" i="67"/>
  <c r="EK31" i="67"/>
  <c r="EG31" i="67"/>
  <c r="EC31" i="67"/>
  <c r="DY31" i="67"/>
  <c r="DU31" i="67"/>
  <c r="DQ31" i="67"/>
  <c r="DM31" i="67"/>
  <c r="DI31" i="67"/>
  <c r="DE31" i="67"/>
  <c r="DA31" i="67"/>
  <c r="CW31" i="67"/>
  <c r="AV31" i="67"/>
  <c r="AU31" i="67"/>
  <c r="AO31" i="67"/>
  <c r="AN31" i="67"/>
  <c r="AN32" i="67" s="1"/>
  <c r="AM31" i="67"/>
  <c r="AL31" i="67"/>
  <c r="AK31" i="67"/>
  <c r="AJ31" i="67"/>
  <c r="AZ31" i="67" s="1"/>
  <c r="AI31" i="67"/>
  <c r="AH31" i="67"/>
  <c r="AG31" i="67"/>
  <c r="AG32" i="67" s="1"/>
  <c r="AF31" i="67"/>
  <c r="AD31" i="67"/>
  <c r="AC31" i="67"/>
  <c r="AB31" i="67"/>
  <c r="U31" i="67"/>
  <c r="N31" i="67"/>
  <c r="EQ30" i="67"/>
  <c r="EP30" i="67"/>
  <c r="BF30" i="67" s="1"/>
  <c r="EO30" i="67"/>
  <c r="EN30" i="67"/>
  <c r="EK30" i="67"/>
  <c r="EG30" i="67"/>
  <c r="EC30" i="67"/>
  <c r="DY30" i="67"/>
  <c r="DU30" i="67"/>
  <c r="DQ30" i="67"/>
  <c r="DM30" i="67"/>
  <c r="DI30" i="67"/>
  <c r="DE30" i="67"/>
  <c r="DA30" i="67"/>
  <c r="CW30" i="67"/>
  <c r="AV30" i="67"/>
  <c r="AU30" i="67"/>
  <c r="AO30" i="67"/>
  <c r="AN30" i="67"/>
  <c r="AM30" i="67"/>
  <c r="AL30" i="67"/>
  <c r="AK30" i="67"/>
  <c r="AJ30" i="67"/>
  <c r="AZ30" i="67"/>
  <c r="AI30" i="67"/>
  <c r="AH30" i="67"/>
  <c r="AG30" i="67"/>
  <c r="AF30" i="67"/>
  <c r="AD30" i="67"/>
  <c r="AC30" i="67"/>
  <c r="AB30" i="67"/>
  <c r="U30" i="67"/>
  <c r="N30" i="67"/>
  <c r="M30" i="67"/>
  <c r="EQ29" i="67"/>
  <c r="EP29" i="67"/>
  <c r="EO29" i="67"/>
  <c r="EN29" i="67"/>
  <c r="EK29" i="67"/>
  <c r="EG29" i="67"/>
  <c r="EC29" i="67"/>
  <c r="DY29" i="67"/>
  <c r="DU29" i="67"/>
  <c r="DQ29" i="67"/>
  <c r="DM29" i="67"/>
  <c r="DI29" i="67"/>
  <c r="DE29" i="67"/>
  <c r="DA29" i="67"/>
  <c r="CW29" i="67"/>
  <c r="AV29" i="67"/>
  <c r="BG29" i="67" s="1"/>
  <c r="AU29" i="67"/>
  <c r="AO29" i="67"/>
  <c r="AN29" i="67"/>
  <c r="AM29" i="67"/>
  <c r="AL29" i="67"/>
  <c r="AK29" i="67"/>
  <c r="AJ29" i="67"/>
  <c r="AZ29" i="67"/>
  <c r="AI29" i="67"/>
  <c r="AH29" i="67"/>
  <c r="AG29" i="67"/>
  <c r="AF29" i="67"/>
  <c r="AD29" i="67"/>
  <c r="AC29" i="67"/>
  <c r="AB29" i="67"/>
  <c r="U29" i="67"/>
  <c r="N29" i="67"/>
  <c r="M29" i="67"/>
  <c r="EQ28" i="67"/>
  <c r="EP28" i="67"/>
  <c r="EO28" i="67"/>
  <c r="EN28" i="67"/>
  <c r="EK28" i="67"/>
  <c r="EG28" i="67"/>
  <c r="EC28" i="67"/>
  <c r="DY28" i="67"/>
  <c r="DU28" i="67"/>
  <c r="DQ28" i="67"/>
  <c r="DM28" i="67"/>
  <c r="DI28" i="67"/>
  <c r="DE28" i="67"/>
  <c r="DA28" i="67"/>
  <c r="CW28" i="67"/>
  <c r="AV28" i="67"/>
  <c r="AU28" i="67"/>
  <c r="AO28" i="67"/>
  <c r="AN28" i="67"/>
  <c r="AM28" i="67"/>
  <c r="AL28" i="67"/>
  <c r="AK28" i="67"/>
  <c r="AJ28" i="67"/>
  <c r="AZ28" i="67" s="1"/>
  <c r="AI28" i="67"/>
  <c r="AH28" i="67"/>
  <c r="AG28" i="67"/>
  <c r="AF28" i="67"/>
  <c r="AD28" i="67"/>
  <c r="AC28" i="67"/>
  <c r="AB28" i="67"/>
  <c r="U28" i="67"/>
  <c r="N28" i="67"/>
  <c r="M28" i="67"/>
  <c r="EQ27" i="67"/>
  <c r="EP27" i="67"/>
  <c r="EO27" i="67"/>
  <c r="EN27" i="67"/>
  <c r="BA27" i="67" s="1"/>
  <c r="EK27" i="67"/>
  <c r="EG27" i="67"/>
  <c r="EC27" i="67"/>
  <c r="DY27" i="67"/>
  <c r="DU27" i="67"/>
  <c r="DQ27" i="67"/>
  <c r="DM27" i="67"/>
  <c r="DI27" i="67"/>
  <c r="DE27" i="67"/>
  <c r="DA27" i="67"/>
  <c r="CW27" i="67"/>
  <c r="AV27" i="67"/>
  <c r="AU27" i="67"/>
  <c r="AO27" i="67"/>
  <c r="AN27" i="67"/>
  <c r="AM27" i="67"/>
  <c r="AL27" i="67"/>
  <c r="AK27" i="67"/>
  <c r="AJ27" i="67"/>
  <c r="AZ27" i="67" s="1"/>
  <c r="AI27" i="67"/>
  <c r="AH27" i="67"/>
  <c r="AG27" i="67"/>
  <c r="AF27" i="67"/>
  <c r="AD27" i="67"/>
  <c r="AC27" i="67"/>
  <c r="AB27" i="67"/>
  <c r="U27" i="67"/>
  <c r="N27" i="67"/>
  <c r="M27" i="67"/>
  <c r="EQ26" i="67"/>
  <c r="EP26" i="67"/>
  <c r="EO26" i="67"/>
  <c r="EN26" i="67"/>
  <c r="EK26" i="67"/>
  <c r="EG26" i="67"/>
  <c r="EC26" i="67"/>
  <c r="DY26" i="67"/>
  <c r="DU26" i="67"/>
  <c r="DQ26" i="67"/>
  <c r="DM26" i="67"/>
  <c r="DI26" i="67"/>
  <c r="DE26" i="67"/>
  <c r="DA26" i="67"/>
  <c r="CW26" i="67"/>
  <c r="AV26" i="67"/>
  <c r="AU26" i="67"/>
  <c r="AO26" i="67"/>
  <c r="AN26" i="67"/>
  <c r="AM26" i="67"/>
  <c r="AL26" i="67"/>
  <c r="AK26" i="67"/>
  <c r="AJ26" i="67"/>
  <c r="AZ26" i="67"/>
  <c r="AI26" i="67"/>
  <c r="AH26" i="67"/>
  <c r="AG26" i="67"/>
  <c r="AF26" i="67"/>
  <c r="AD26" i="67"/>
  <c r="AC26" i="67"/>
  <c r="AB26" i="67"/>
  <c r="U26" i="67"/>
  <c r="N26" i="67"/>
  <c r="M26" i="67"/>
  <c r="EQ21" i="67"/>
  <c r="EP21" i="67"/>
  <c r="EO21" i="67"/>
  <c r="EN21" i="67"/>
  <c r="EK21" i="67"/>
  <c r="EG21" i="67"/>
  <c r="EC21" i="67"/>
  <c r="DY21" i="67"/>
  <c r="DU21" i="67"/>
  <c r="DQ21" i="67"/>
  <c r="DM21" i="67"/>
  <c r="DI21" i="67"/>
  <c r="DE21" i="67"/>
  <c r="DA21" i="67"/>
  <c r="CW21" i="67"/>
  <c r="AV21" i="67"/>
  <c r="AU21" i="67"/>
  <c r="AO21" i="67"/>
  <c r="AN21" i="67"/>
  <c r="AM21" i="67"/>
  <c r="AL21" i="67"/>
  <c r="AK21" i="67"/>
  <c r="AJ21" i="67"/>
  <c r="AZ21" i="67"/>
  <c r="AI21" i="67"/>
  <c r="AH21" i="67"/>
  <c r="AG21" i="67"/>
  <c r="AF21" i="67"/>
  <c r="AD21" i="67"/>
  <c r="AC21" i="67"/>
  <c r="AB21" i="67"/>
  <c r="U21" i="67"/>
  <c r="N21" i="67"/>
  <c r="M21" i="67"/>
  <c r="EQ20" i="67"/>
  <c r="EP20" i="67"/>
  <c r="EO20" i="67"/>
  <c r="EN20" i="67"/>
  <c r="EK20" i="67"/>
  <c r="EG20" i="67"/>
  <c r="EC20" i="67"/>
  <c r="DY20" i="67"/>
  <c r="DU20" i="67"/>
  <c r="DQ20" i="67"/>
  <c r="DM20" i="67"/>
  <c r="DI20" i="67"/>
  <c r="DE20" i="67"/>
  <c r="DA20" i="67"/>
  <c r="CW20" i="67"/>
  <c r="AV20" i="67"/>
  <c r="AU20" i="67"/>
  <c r="AO20" i="67"/>
  <c r="AN20" i="67"/>
  <c r="AM20" i="67"/>
  <c r="AL20" i="67"/>
  <c r="AK20" i="67"/>
  <c r="AJ20" i="67"/>
  <c r="AZ20" i="67" s="1"/>
  <c r="AI20" i="67"/>
  <c r="AH20" i="67"/>
  <c r="AG20" i="67"/>
  <c r="AF20" i="67"/>
  <c r="AD20" i="67"/>
  <c r="AC20" i="67"/>
  <c r="AB20" i="67"/>
  <c r="U20" i="67"/>
  <c r="N20" i="67"/>
  <c r="M20" i="67"/>
  <c r="EQ17" i="67"/>
  <c r="EP17" i="67"/>
  <c r="EO17" i="67"/>
  <c r="EN17" i="67"/>
  <c r="BA17" i="67" s="1"/>
  <c r="EK17" i="67"/>
  <c r="EG17" i="67"/>
  <c r="EC17" i="67"/>
  <c r="DY17" i="67"/>
  <c r="DU17" i="67"/>
  <c r="DQ17" i="67"/>
  <c r="DM17" i="67"/>
  <c r="DI17" i="67"/>
  <c r="DE17" i="67"/>
  <c r="DA17" i="67"/>
  <c r="CW17" i="67"/>
  <c r="AV17" i="67"/>
  <c r="AU17" i="67"/>
  <c r="AO17" i="67"/>
  <c r="AN17" i="67"/>
  <c r="AM17" i="67"/>
  <c r="AL17" i="67"/>
  <c r="AK17" i="67"/>
  <c r="AJ17" i="67"/>
  <c r="AZ17" i="67" s="1"/>
  <c r="AI17" i="67"/>
  <c r="AH17" i="67"/>
  <c r="AG17" i="67"/>
  <c r="AF17" i="67"/>
  <c r="AD17" i="67"/>
  <c r="EB17" i="67" s="1"/>
  <c r="AC17" i="67"/>
  <c r="AB17" i="67"/>
  <c r="U17" i="67"/>
  <c r="N17" i="67"/>
  <c r="M17" i="67"/>
  <c r="EQ16" i="67"/>
  <c r="BG16" i="67" s="1"/>
  <c r="EP16" i="67"/>
  <c r="EO16" i="67"/>
  <c r="EN16" i="67"/>
  <c r="EK16" i="67"/>
  <c r="EG16" i="67"/>
  <c r="EC16" i="67"/>
  <c r="DY16" i="67"/>
  <c r="DU16" i="67"/>
  <c r="DQ16" i="67"/>
  <c r="DM16" i="67"/>
  <c r="DI16" i="67"/>
  <c r="DL16" i="67" s="1"/>
  <c r="DE16" i="67"/>
  <c r="DA16" i="67"/>
  <c r="CW16" i="67"/>
  <c r="AV16" i="67"/>
  <c r="AU16" i="67"/>
  <c r="AO16" i="67"/>
  <c r="AN16" i="67"/>
  <c r="AM16" i="67"/>
  <c r="AL16" i="67"/>
  <c r="AK16" i="67"/>
  <c r="AJ16" i="67"/>
  <c r="AZ16" i="67" s="1"/>
  <c r="AI16" i="67"/>
  <c r="AH16" i="67"/>
  <c r="AG16" i="67"/>
  <c r="AF16" i="67"/>
  <c r="AD16" i="67"/>
  <c r="AC16" i="67"/>
  <c r="AB16" i="67"/>
  <c r="U16" i="67"/>
  <c r="N16" i="67"/>
  <c r="M16" i="67"/>
  <c r="EQ15" i="67"/>
  <c r="EP15" i="67"/>
  <c r="EO15" i="67"/>
  <c r="EN15" i="67"/>
  <c r="EK15" i="67"/>
  <c r="EG15" i="67"/>
  <c r="EC15" i="67"/>
  <c r="DY15" i="67"/>
  <c r="DU15" i="67"/>
  <c r="DQ15" i="67"/>
  <c r="DM15" i="67"/>
  <c r="DI15" i="67"/>
  <c r="DE15" i="67"/>
  <c r="DA15" i="67"/>
  <c r="CW15" i="67"/>
  <c r="AV15" i="67"/>
  <c r="AU15" i="67"/>
  <c r="AO15" i="67"/>
  <c r="AN15" i="67"/>
  <c r="AM15" i="67"/>
  <c r="AL15" i="67"/>
  <c r="AK15" i="67"/>
  <c r="AJ15" i="67"/>
  <c r="AZ15" i="67" s="1"/>
  <c r="AI15" i="67"/>
  <c r="AH15" i="67"/>
  <c r="AG15" i="67"/>
  <c r="AF15" i="67"/>
  <c r="AD15" i="67"/>
  <c r="AC15" i="67"/>
  <c r="AB15" i="67"/>
  <c r="U15" i="67"/>
  <c r="N15" i="67"/>
  <c r="M15" i="67"/>
  <c r="EQ14" i="67"/>
  <c r="EP14" i="67"/>
  <c r="EO14" i="67"/>
  <c r="EN14" i="67"/>
  <c r="EK14" i="67"/>
  <c r="EG14" i="67"/>
  <c r="EC14" i="67"/>
  <c r="DY14" i="67"/>
  <c r="DU14" i="67"/>
  <c r="DQ14" i="67"/>
  <c r="DM14" i="67"/>
  <c r="DI14" i="67"/>
  <c r="DE14" i="67"/>
  <c r="DA14" i="67"/>
  <c r="CW14" i="67"/>
  <c r="AV14" i="67"/>
  <c r="AU14" i="67"/>
  <c r="AO14" i="67"/>
  <c r="AN14" i="67"/>
  <c r="AM14" i="67"/>
  <c r="AL14" i="67"/>
  <c r="AK14" i="67"/>
  <c r="AJ14" i="67"/>
  <c r="AZ14" i="67" s="1"/>
  <c r="AI14" i="67"/>
  <c r="AH14" i="67"/>
  <c r="AG14" i="67"/>
  <c r="AF14" i="67"/>
  <c r="AD14" i="67"/>
  <c r="AC14" i="67"/>
  <c r="AB14" i="67"/>
  <c r="U14" i="67"/>
  <c r="N14" i="67"/>
  <c r="M14" i="67"/>
  <c r="EQ13" i="67"/>
  <c r="EP13" i="67"/>
  <c r="BF13" i="67" s="1"/>
  <c r="BH13" i="67" s="1"/>
  <c r="EO13" i="67"/>
  <c r="EN13" i="67"/>
  <c r="EK13" i="67"/>
  <c r="EG13" i="67"/>
  <c r="EC13" i="67"/>
  <c r="DY13" i="67"/>
  <c r="DU13" i="67"/>
  <c r="DQ13" i="67"/>
  <c r="DM13" i="67"/>
  <c r="DI13" i="67"/>
  <c r="DE13" i="67"/>
  <c r="DA13" i="67"/>
  <c r="CW13" i="67"/>
  <c r="AV13" i="67"/>
  <c r="AU13" i="67"/>
  <c r="AO13" i="67"/>
  <c r="AN13" i="67"/>
  <c r="AM13" i="67"/>
  <c r="AL13" i="67"/>
  <c r="AK13" i="67"/>
  <c r="AJ13" i="67"/>
  <c r="AZ13" i="67"/>
  <c r="AI13" i="67"/>
  <c r="AH13" i="67"/>
  <c r="AG13" i="67"/>
  <c r="AF13" i="67"/>
  <c r="AD13" i="67"/>
  <c r="AC13" i="67"/>
  <c r="AB13" i="67"/>
  <c r="U13" i="67"/>
  <c r="N13" i="67"/>
  <c r="M13" i="67"/>
  <c r="EQ12" i="67"/>
  <c r="EP12" i="67"/>
  <c r="EO12" i="67"/>
  <c r="EN12" i="67"/>
  <c r="EK12" i="67"/>
  <c r="EG12" i="67"/>
  <c r="EC12" i="67"/>
  <c r="DY12" i="67"/>
  <c r="DU12" i="67"/>
  <c r="DQ12" i="67"/>
  <c r="DM12" i="67"/>
  <c r="DI12" i="67"/>
  <c r="DE12" i="67"/>
  <c r="DA12" i="67"/>
  <c r="CW12" i="67"/>
  <c r="AV12" i="67"/>
  <c r="AU12" i="67"/>
  <c r="AO12" i="67"/>
  <c r="AN12" i="67"/>
  <c r="AM12" i="67"/>
  <c r="AL12" i="67"/>
  <c r="AK12" i="67"/>
  <c r="AJ12" i="67"/>
  <c r="AZ12" i="67"/>
  <c r="AI12" i="67"/>
  <c r="AH12" i="67"/>
  <c r="AG12" i="67"/>
  <c r="AF12" i="67"/>
  <c r="AD12" i="67"/>
  <c r="AC12" i="67"/>
  <c r="AB12" i="67"/>
  <c r="U12" i="67"/>
  <c r="N12" i="67"/>
  <c r="M12" i="67"/>
  <c r="EQ11" i="67"/>
  <c r="EP11" i="67"/>
  <c r="EO11" i="67"/>
  <c r="EN11" i="67"/>
  <c r="EK11" i="67"/>
  <c r="EG11" i="67"/>
  <c r="EC11" i="67"/>
  <c r="DY11" i="67"/>
  <c r="DU11" i="67"/>
  <c r="DQ11" i="67"/>
  <c r="DM11" i="67"/>
  <c r="DI11" i="67"/>
  <c r="DE11" i="67"/>
  <c r="DA11" i="67"/>
  <c r="CW11" i="67"/>
  <c r="AV11" i="67"/>
  <c r="AU11" i="67"/>
  <c r="AO11" i="67"/>
  <c r="AN11" i="67"/>
  <c r="AM11" i="67"/>
  <c r="AL11" i="67"/>
  <c r="AK11" i="67"/>
  <c r="AK32" i="67" s="1"/>
  <c r="AJ11" i="67"/>
  <c r="AZ11" i="67" s="1"/>
  <c r="AI11" i="67"/>
  <c r="AH11" i="67"/>
  <c r="AG11" i="67"/>
  <c r="AF11" i="67"/>
  <c r="AD11" i="67"/>
  <c r="AC11" i="67"/>
  <c r="AB11" i="67"/>
  <c r="U11" i="67"/>
  <c r="N11" i="67"/>
  <c r="M11" i="67"/>
  <c r="EQ10" i="67"/>
  <c r="EP10" i="67"/>
  <c r="EO10" i="67"/>
  <c r="EN10" i="67"/>
  <c r="EK10" i="67"/>
  <c r="EG10" i="67"/>
  <c r="EC10" i="67"/>
  <c r="DY10" i="67"/>
  <c r="DU10" i="67"/>
  <c r="DQ10" i="67"/>
  <c r="DM10" i="67"/>
  <c r="DI10" i="67"/>
  <c r="DE10" i="67"/>
  <c r="DA10" i="67"/>
  <c r="CW10" i="67"/>
  <c r="BR10" i="67" s="1"/>
  <c r="CB10" i="67" s="1"/>
  <c r="AV10" i="67"/>
  <c r="AU10" i="67"/>
  <c r="AO10" i="67"/>
  <c r="AN10" i="67"/>
  <c r="AM10" i="67"/>
  <c r="AL10" i="67"/>
  <c r="AK10" i="67"/>
  <c r="AJ10" i="67"/>
  <c r="AZ10" i="67" s="1"/>
  <c r="AI10" i="67"/>
  <c r="AH10" i="67"/>
  <c r="AG10" i="67"/>
  <c r="AF10" i="67"/>
  <c r="AD10" i="67"/>
  <c r="EB10" i="67" s="1"/>
  <c r="AC10" i="67"/>
  <c r="AB10" i="67"/>
  <c r="U10" i="67"/>
  <c r="N10" i="67"/>
  <c r="M10" i="67"/>
  <c r="EQ9" i="67"/>
  <c r="EP9" i="67"/>
  <c r="BF9" i="67" s="1"/>
  <c r="EO9" i="67"/>
  <c r="EN9" i="67"/>
  <c r="EK9" i="67"/>
  <c r="EG9" i="67"/>
  <c r="EC9" i="67"/>
  <c r="DY9" i="67"/>
  <c r="DU9" i="67"/>
  <c r="DQ9" i="67"/>
  <c r="DM9" i="67"/>
  <c r="DN9" i="67" s="1"/>
  <c r="DI9" i="67"/>
  <c r="DE9" i="67"/>
  <c r="DA9" i="67"/>
  <c r="CW9" i="67"/>
  <c r="AV9" i="67"/>
  <c r="AU9" i="67"/>
  <c r="AO9" i="67"/>
  <c r="AN9" i="67"/>
  <c r="AM9" i="67"/>
  <c r="AL9" i="67"/>
  <c r="AK9" i="67"/>
  <c r="AJ9" i="67"/>
  <c r="AZ9" i="67"/>
  <c r="AI9" i="67"/>
  <c r="AH9" i="67"/>
  <c r="AG9" i="67"/>
  <c r="AF9" i="67"/>
  <c r="AD9" i="67"/>
  <c r="AC9" i="67"/>
  <c r="AB9" i="67"/>
  <c r="U9" i="67"/>
  <c r="N9" i="67"/>
  <c r="M9" i="67"/>
  <c r="EQ8" i="67"/>
  <c r="EP8" i="67"/>
  <c r="EO8" i="67"/>
  <c r="EN8" i="67"/>
  <c r="EK8" i="67"/>
  <c r="EG8" i="67"/>
  <c r="EC8" i="67"/>
  <c r="DY8" i="67"/>
  <c r="DU8" i="67"/>
  <c r="DQ8" i="67"/>
  <c r="DM8" i="67"/>
  <c r="DI8" i="67"/>
  <c r="DE8" i="67"/>
  <c r="DA8" i="67"/>
  <c r="CW8" i="67"/>
  <c r="AU8" i="67"/>
  <c r="AU32" i="67" s="1"/>
  <c r="AO8" i="67"/>
  <c r="AN8" i="67"/>
  <c r="AM8" i="67"/>
  <c r="AL8" i="67"/>
  <c r="AK8" i="67"/>
  <c r="AJ8" i="67"/>
  <c r="AZ8" i="67" s="1"/>
  <c r="AI8" i="67"/>
  <c r="AI32" i="67" s="1"/>
  <c r="AH8" i="67"/>
  <c r="AG8" i="67"/>
  <c r="AF8" i="67"/>
  <c r="AD8" i="67"/>
  <c r="AC8" i="67"/>
  <c r="AB8" i="67"/>
  <c r="U8" i="67"/>
  <c r="N8" i="67"/>
  <c r="M8" i="67"/>
  <c r="EQ7" i="67"/>
  <c r="EP7" i="67"/>
  <c r="EO7" i="67"/>
  <c r="EN7" i="67"/>
  <c r="EK7" i="67"/>
  <c r="EG7" i="67"/>
  <c r="EC7" i="67"/>
  <c r="DY7" i="67"/>
  <c r="DU7" i="67"/>
  <c r="DQ7" i="67"/>
  <c r="DM7" i="67"/>
  <c r="DI7" i="67"/>
  <c r="DE7" i="67"/>
  <c r="DA7" i="67"/>
  <c r="CW7" i="67"/>
  <c r="AV7" i="67"/>
  <c r="AU7" i="67"/>
  <c r="AO7" i="67"/>
  <c r="AN7" i="67"/>
  <c r="AM7" i="67"/>
  <c r="AL7" i="67"/>
  <c r="AK7" i="67"/>
  <c r="AJ7" i="67"/>
  <c r="AI7" i="67"/>
  <c r="AH7" i="67"/>
  <c r="AG7" i="67"/>
  <c r="AF7" i="67"/>
  <c r="AD7" i="67"/>
  <c r="AC7" i="67"/>
  <c r="AB7" i="67"/>
  <c r="AB32" i="67" s="1"/>
  <c r="U7" i="67"/>
  <c r="N7" i="67"/>
  <c r="M7" i="67"/>
  <c r="EQ6" i="67"/>
  <c r="EP6" i="67"/>
  <c r="EO6" i="67"/>
  <c r="EN6" i="67"/>
  <c r="EK6" i="67"/>
  <c r="EL6" i="67" s="1"/>
  <c r="EG6" i="67"/>
  <c r="EC6" i="67"/>
  <c r="DY6" i="67"/>
  <c r="DU6" i="67"/>
  <c r="DQ6" i="67"/>
  <c r="DM6" i="67"/>
  <c r="DI6" i="67"/>
  <c r="DE6" i="67"/>
  <c r="DA6" i="67"/>
  <c r="BS6" i="67" s="1"/>
  <c r="CC6" i="67" s="1"/>
  <c r="CW6" i="67"/>
  <c r="BR6" i="67" s="1"/>
  <c r="CB6" i="67" s="1"/>
  <c r="AV6" i="67"/>
  <c r="AU6" i="67"/>
  <c r="AO6" i="67"/>
  <c r="AN6" i="67"/>
  <c r="AM6" i="67"/>
  <c r="AL6" i="67"/>
  <c r="AL32" i="67" s="1"/>
  <c r="AK6" i="67"/>
  <c r="AJ6" i="67"/>
  <c r="AZ6" i="67"/>
  <c r="AI6" i="67"/>
  <c r="AH6" i="67"/>
  <c r="AG6" i="67"/>
  <c r="AF6" i="67"/>
  <c r="AD6" i="67"/>
  <c r="AC6" i="67"/>
  <c r="AB6" i="67"/>
  <c r="N6" i="67"/>
  <c r="DJ6" i="67" s="1"/>
  <c r="M6" i="67"/>
  <c r="EQ5" i="67"/>
  <c r="EP5" i="67"/>
  <c r="EO5" i="67"/>
  <c r="EN5" i="67"/>
  <c r="EK5" i="67"/>
  <c r="EL5" i="67" s="1"/>
  <c r="EG5" i="67"/>
  <c r="EC5" i="67"/>
  <c r="DY5" i="67"/>
  <c r="DU5" i="67"/>
  <c r="DQ5" i="67"/>
  <c r="DT5" i="67" s="1"/>
  <c r="DM5" i="67"/>
  <c r="DI5" i="67"/>
  <c r="DE5" i="67"/>
  <c r="DG5" i="67" s="1"/>
  <c r="DA5" i="67"/>
  <c r="CW5" i="67"/>
  <c r="CY5" i="67" s="1"/>
  <c r="AV5" i="67"/>
  <c r="AU5" i="67"/>
  <c r="AO5" i="67"/>
  <c r="AN5" i="67"/>
  <c r="AM5" i="67"/>
  <c r="AM32" i="67" s="1"/>
  <c r="AL5" i="67"/>
  <c r="AK5" i="67"/>
  <c r="AJ5" i="67"/>
  <c r="AZ5" i="67" s="1"/>
  <c r="AI5" i="67"/>
  <c r="AH5" i="67"/>
  <c r="AG5" i="67"/>
  <c r="AF5" i="67"/>
  <c r="AD5" i="67"/>
  <c r="DX5" i="67" s="1"/>
  <c r="AC5" i="67"/>
  <c r="AB5" i="67"/>
  <c r="U5" i="67"/>
  <c r="N5" i="67"/>
  <c r="M5" i="67"/>
  <c r="EQ4" i="67"/>
  <c r="EP4" i="67"/>
  <c r="BF4" i="67" s="1"/>
  <c r="EO4" i="67"/>
  <c r="EN4" i="67"/>
  <c r="EK4" i="67"/>
  <c r="EG4" i="67"/>
  <c r="EC4" i="67"/>
  <c r="DY4" i="67"/>
  <c r="DU4" i="67"/>
  <c r="DQ4" i="67"/>
  <c r="DM4" i="67"/>
  <c r="BR4" i="67" s="1"/>
  <c r="CB4" i="67" s="1"/>
  <c r="DI4" i="67"/>
  <c r="DE4" i="67"/>
  <c r="DA4" i="67"/>
  <c r="CW4" i="67"/>
  <c r="AV4" i="67"/>
  <c r="AU4" i="67"/>
  <c r="AO4" i="67"/>
  <c r="AN4" i="67"/>
  <c r="AM4" i="67"/>
  <c r="AL4" i="67"/>
  <c r="AK4" i="67"/>
  <c r="AJ4" i="67"/>
  <c r="AZ4" i="67"/>
  <c r="AI4" i="67"/>
  <c r="AH4" i="67"/>
  <c r="AG4" i="67"/>
  <c r="AF4" i="67"/>
  <c r="AD4" i="67"/>
  <c r="AC4" i="67"/>
  <c r="AB4" i="67"/>
  <c r="U4" i="67"/>
  <c r="N4" i="67"/>
  <c r="M4" i="67"/>
  <c r="BQ6" i="67"/>
  <c r="CA6" i="67" s="1"/>
  <c r="BQ10" i="67"/>
  <c r="CA10" i="67" s="1"/>
  <c r="BT10" i="67"/>
  <c r="CM10" i="67" s="1"/>
  <c r="BQ14" i="67"/>
  <c r="CA14" i="67" s="1"/>
  <c r="BS14" i="67"/>
  <c r="CC14" i="67" s="1"/>
  <c r="BR14" i="67"/>
  <c r="CB14" i="67"/>
  <c r="BT14" i="67"/>
  <c r="CM14" i="67"/>
  <c r="BS21" i="67"/>
  <c r="CC21" i="67" s="1"/>
  <c r="BQ21" i="67"/>
  <c r="CA21" i="67" s="1"/>
  <c r="BT21" i="67"/>
  <c r="CM21" i="67"/>
  <c r="BR21" i="67"/>
  <c r="CB21" i="67"/>
  <c r="BS29" i="67"/>
  <c r="CC29" i="67" s="1"/>
  <c r="BQ29" i="67"/>
  <c r="CA29" i="67" s="1"/>
  <c r="BT29" i="67"/>
  <c r="CM29" i="67"/>
  <c r="BR29" i="67"/>
  <c r="CB29" i="67"/>
  <c r="BQ4" i="67"/>
  <c r="BT8" i="67"/>
  <c r="CM8" i="67"/>
  <c r="BR8" i="67"/>
  <c r="CB8" i="67"/>
  <c r="BQ8" i="67"/>
  <c r="CA8" i="67" s="1"/>
  <c r="BS8" i="67"/>
  <c r="CC8" i="67" s="1"/>
  <c r="BR12" i="67"/>
  <c r="CB12" i="67"/>
  <c r="BS12" i="67"/>
  <c r="CC12" i="67" s="1"/>
  <c r="BQ12" i="67"/>
  <c r="CA12" i="67" s="1"/>
  <c r="BT16" i="67"/>
  <c r="CM16" i="67"/>
  <c r="BQ16" i="67"/>
  <c r="CA16" i="67"/>
  <c r="BR16" i="67"/>
  <c r="CB16" i="67" s="1"/>
  <c r="BS16" i="67"/>
  <c r="CC16" i="67" s="1"/>
  <c r="BT26" i="67"/>
  <c r="CM26" i="67"/>
  <c r="BR26" i="67"/>
  <c r="CB26" i="67"/>
  <c r="BQ26" i="67"/>
  <c r="CA26" i="67" s="1"/>
  <c r="BS26" i="67"/>
  <c r="CC26" i="67" s="1"/>
  <c r="BT30" i="67"/>
  <c r="CM30" i="67"/>
  <c r="BQ30" i="67"/>
  <c r="CA30" i="67"/>
  <c r="BR30" i="67"/>
  <c r="CB30" i="67" s="1"/>
  <c r="BS30" i="67"/>
  <c r="CC30" i="67" s="1"/>
  <c r="BS5" i="67"/>
  <c r="CC5" i="67"/>
  <c r="BT5" i="67"/>
  <c r="CM5" i="67"/>
  <c r="BR5" i="67"/>
  <c r="CB5" i="67" s="1"/>
  <c r="BQ5" i="67"/>
  <c r="CA5" i="67" s="1"/>
  <c r="BS9" i="67"/>
  <c r="CC9" i="67" s="1"/>
  <c r="BT9" i="67"/>
  <c r="CM9" i="67"/>
  <c r="BR9" i="67"/>
  <c r="CB9" i="67" s="1"/>
  <c r="BQ9" i="67"/>
  <c r="CA9" i="67" s="1"/>
  <c r="BS13" i="67"/>
  <c r="CC13" i="67" s="1"/>
  <c r="BT13" i="67"/>
  <c r="CM13" i="67"/>
  <c r="BR13" i="67"/>
  <c r="CB13" i="67" s="1"/>
  <c r="BQ13" i="67"/>
  <c r="CA13" i="67" s="1"/>
  <c r="BS17" i="67"/>
  <c r="CC17" i="67" s="1"/>
  <c r="BT17" i="67"/>
  <c r="CM17" i="67"/>
  <c r="BR17" i="67"/>
  <c r="CB17" i="67" s="1"/>
  <c r="BQ17" i="67"/>
  <c r="CA17" i="67" s="1"/>
  <c r="BS27" i="67"/>
  <c r="CC27" i="67" s="1"/>
  <c r="BT27" i="67"/>
  <c r="CM27" i="67"/>
  <c r="BR27" i="67"/>
  <c r="CB27" i="67" s="1"/>
  <c r="BQ27" i="67"/>
  <c r="CA27" i="67" s="1"/>
  <c r="EI30" i="67"/>
  <c r="AE29" i="67"/>
  <c r="DF31" i="67"/>
  <c r="DV31" i="67"/>
  <c r="DN30" i="67"/>
  <c r="ED9" i="67"/>
  <c r="DD30" i="67"/>
  <c r="DX26" i="67"/>
  <c r="BG26" i="67"/>
  <c r="EF10" i="67"/>
  <c r="CX13" i="67"/>
  <c r="BF11" i="67"/>
  <c r="BH11" i="67" s="1"/>
  <c r="AE17" i="67"/>
  <c r="BB17" i="67"/>
  <c r="EI26" i="67"/>
  <c r="DP30" i="67"/>
  <c r="EA27" i="67"/>
  <c r="DF9" i="67"/>
  <c r="BG11" i="67"/>
  <c r="DF26" i="67"/>
  <c r="DC27" i="67"/>
  <c r="EL8" i="67"/>
  <c r="DC14" i="67"/>
  <c r="EH26" i="67"/>
  <c r="ED30" i="67"/>
  <c r="CX6" i="67"/>
  <c r="DG17" i="67"/>
  <c r="BF20" i="67"/>
  <c r="DL26" i="67"/>
  <c r="DX27" i="67"/>
  <c r="CX14" i="67"/>
  <c r="DB26" i="67"/>
  <c r="DV26" i="67"/>
  <c r="DW27" i="67"/>
  <c r="DS27" i="67"/>
  <c r="EJ30" i="67"/>
  <c r="DF13" i="67"/>
  <c r="EB26" i="67"/>
  <c r="DV9" i="67"/>
  <c r="EL20" i="67"/>
  <c r="BG20" i="67"/>
  <c r="DB21" i="67"/>
  <c r="DR21" i="67"/>
  <c r="EH21" i="67"/>
  <c r="EF30" i="67"/>
  <c r="DZ5" i="67"/>
  <c r="EL15" i="67"/>
  <c r="CZ30" i="67"/>
  <c r="CX30" i="67"/>
  <c r="DK15" i="67"/>
  <c r="CY15" i="67"/>
  <c r="DH5" i="67"/>
  <c r="BF31" i="67"/>
  <c r="BH31" i="67" s="1"/>
  <c r="BG31" i="67"/>
  <c r="CZ5" i="67"/>
  <c r="EF5" i="67"/>
  <c r="DB6" i="67"/>
  <c r="CX9" i="67"/>
  <c r="BG9" i="67"/>
  <c r="DB13" i="67"/>
  <c r="EA15" i="67"/>
  <c r="DL20" i="67"/>
  <c r="EB20" i="67"/>
  <c r="EL21" i="67"/>
  <c r="DD26" i="67"/>
  <c r="DH26" i="67"/>
  <c r="EJ26" i="67"/>
  <c r="AE27" i="67"/>
  <c r="BB27" i="67" s="1"/>
  <c r="AE28" i="67"/>
  <c r="DJ31" i="67"/>
  <c r="DZ31" i="67"/>
  <c r="DS5" i="67"/>
  <c r="EE5" i="67"/>
  <c r="ED6" i="67"/>
  <c r="DB8" i="67"/>
  <c r="EL9" i="67"/>
  <c r="EA14" i="67"/>
  <c r="DO15" i="67"/>
  <c r="EE15" i="67"/>
  <c r="DG27" i="67"/>
  <c r="BF29" i="67"/>
  <c r="BH29" i="67" s="1"/>
  <c r="CX31" i="67"/>
  <c r="ED31" i="67"/>
  <c r="DV6" i="67"/>
  <c r="EH6" i="67"/>
  <c r="DV13" i="67"/>
  <c r="DN14" i="67"/>
  <c r="ED14" i="67"/>
  <c r="EL17" i="67"/>
  <c r="DZ26" i="67"/>
  <c r="BG7" i="67"/>
  <c r="BG6" i="67"/>
  <c r="AE7" i="67"/>
  <c r="BB7" i="67" s="1"/>
  <c r="DL9" i="67"/>
  <c r="DJ9" i="67"/>
  <c r="ED10" i="67"/>
  <c r="DN10" i="67"/>
  <c r="CX10" i="67"/>
  <c r="DZ10" i="67"/>
  <c r="CZ10" i="67"/>
  <c r="DP10" i="67"/>
  <c r="BG10" i="67"/>
  <c r="BF10" i="67"/>
  <c r="DX30" i="67"/>
  <c r="DV30" i="67"/>
  <c r="DL4" i="67"/>
  <c r="EB4" i="67"/>
  <c r="DD5" i="67"/>
  <c r="DC5" i="67"/>
  <c r="DD9" i="67"/>
  <c r="DC9" i="67"/>
  <c r="DB9" i="67"/>
  <c r="BG17" i="67"/>
  <c r="BF17" i="67"/>
  <c r="DK17" i="67"/>
  <c r="EJ9" i="67"/>
  <c r="EH9" i="67"/>
  <c r="DD10" i="67"/>
  <c r="DB10" i="67"/>
  <c r="DT10" i="67"/>
  <c r="DR10" i="67"/>
  <c r="EJ10" i="67"/>
  <c r="EH10" i="67"/>
  <c r="CX27" i="67"/>
  <c r="CZ27" i="67"/>
  <c r="CY27" i="67"/>
  <c r="EH27" i="67"/>
  <c r="EJ27" i="67"/>
  <c r="BF28" i="67"/>
  <c r="BG28" i="67"/>
  <c r="DH30" i="67"/>
  <c r="DF30" i="67"/>
  <c r="EB30" i="67"/>
  <c r="DZ30" i="67"/>
  <c r="DW5" i="67"/>
  <c r="DV5" i="67"/>
  <c r="DN6" i="67"/>
  <c r="DZ6" i="67"/>
  <c r="DD7" i="67"/>
  <c r="DT7" i="67"/>
  <c r="EJ7" i="67"/>
  <c r="EB9" i="67"/>
  <c r="DZ9" i="67"/>
  <c r="DH10" i="67"/>
  <c r="DX10" i="67"/>
  <c r="DH12" i="67"/>
  <c r="DX12" i="67"/>
  <c r="EH17" i="67"/>
  <c r="EI27" i="67"/>
  <c r="CX28" i="67"/>
  <c r="DN28" i="67"/>
  <c r="ED28" i="67"/>
  <c r="DL30" i="67"/>
  <c r="DJ30" i="67"/>
  <c r="DH4" i="67"/>
  <c r="DX4" i="67"/>
  <c r="DO5" i="67"/>
  <c r="EB5" i="67"/>
  <c r="EA5" i="67"/>
  <c r="EJ5" i="67"/>
  <c r="EI5" i="67"/>
  <c r="DR6" i="67"/>
  <c r="DH7" i="67"/>
  <c r="DX7" i="67"/>
  <c r="DF10" i="67"/>
  <c r="DV10" i="67"/>
  <c r="DL12" i="67"/>
  <c r="DV17" i="67"/>
  <c r="DW17" i="67"/>
  <c r="CZ4" i="67"/>
  <c r="DP4" i="67"/>
  <c r="EF4" i="67"/>
  <c r="ED5" i="67"/>
  <c r="BG5" i="67"/>
  <c r="BH5" i="67" s="1"/>
  <c r="DL7" i="67"/>
  <c r="EB7" i="67"/>
  <c r="CZ9" i="67"/>
  <c r="EL10" i="67"/>
  <c r="CZ12" i="67"/>
  <c r="DP12" i="67"/>
  <c r="EF12" i="67"/>
  <c r="EJ13" i="67"/>
  <c r="BG13" i="67"/>
  <c r="AE14" i="67"/>
  <c r="BA14" i="67" s="1"/>
  <c r="DX14" i="67"/>
  <c r="BF14" i="67"/>
  <c r="DV15" i="67"/>
  <c r="DG15" i="67"/>
  <c r="DS15" i="67"/>
  <c r="CX17" i="67"/>
  <c r="CZ26" i="67"/>
  <c r="CX26" i="67"/>
  <c r="DP26" i="67"/>
  <c r="DN26" i="67"/>
  <c r="EF26" i="67"/>
  <c r="ED26" i="67"/>
  <c r="DB27" i="67"/>
  <c r="DD27" i="67"/>
  <c r="DH27" i="67"/>
  <c r="DN27" i="67"/>
  <c r="DP27" i="67"/>
  <c r="DO27" i="67"/>
  <c r="EB27" i="67"/>
  <c r="DR28" i="67"/>
  <c r="EH30" i="67"/>
  <c r="DB30" i="67"/>
  <c r="BG30" i="67"/>
  <c r="DD4" i="67"/>
  <c r="EJ4" i="67"/>
  <c r="DP7" i="67"/>
  <c r="BG8" i="67"/>
  <c r="DD8" i="67"/>
  <c r="DL8" i="67"/>
  <c r="DT8" i="67"/>
  <c r="DH9" i="67"/>
  <c r="DP9" i="67"/>
  <c r="DX9" i="67"/>
  <c r="EF9" i="67"/>
  <c r="DD12" i="67"/>
  <c r="DT12" i="67"/>
  <c r="EJ12" i="67"/>
  <c r="EA13" i="67"/>
  <c r="EL14" i="67"/>
  <c r="DK14" i="67"/>
  <c r="DW15" i="67"/>
  <c r="DB17" i="67"/>
  <c r="BG27" i="67"/>
  <c r="BH27" i="67" s="1"/>
  <c r="BF27" i="67"/>
  <c r="DR27" i="67"/>
  <c r="DT27" i="67"/>
  <c r="ED27" i="67"/>
  <c r="EF27" i="67"/>
  <c r="EE27" i="67"/>
  <c r="EF16" i="67"/>
  <c r="DF17" i="67"/>
  <c r="DN17" i="67"/>
  <c r="DZ17" i="67"/>
  <c r="DJ21" i="67"/>
  <c r="DZ27" i="67"/>
  <c r="DF28" i="67"/>
  <c r="DV28" i="67"/>
  <c r="EL28" i="67"/>
  <c r="AE31" i="67"/>
  <c r="BB31" i="67"/>
  <c r="DB31" i="67"/>
  <c r="DR31" i="67"/>
  <c r="EH31" i="67"/>
  <c r="BF16" i="67"/>
  <c r="DR17" i="67"/>
  <c r="ED17" i="67"/>
  <c r="AE20" i="67"/>
  <c r="BB20" i="67" s="1"/>
  <c r="DT20" i="67"/>
  <c r="DJ26" i="67"/>
  <c r="DF27" i="67"/>
  <c r="DV27" i="67"/>
  <c r="EL27" i="67"/>
  <c r="DJ28" i="67"/>
  <c r="DZ28" i="67"/>
  <c r="EL31" i="67"/>
  <c r="BF7" i="67"/>
  <c r="BF6" i="67"/>
  <c r="BF5" i="67"/>
  <c r="DH17" i="67"/>
  <c r="DX17" i="67"/>
  <c r="DC17" i="67"/>
  <c r="DS17" i="67"/>
  <c r="EI17" i="67"/>
  <c r="CY17" i="67"/>
  <c r="DD17" i="67"/>
  <c r="DO17" i="67"/>
  <c r="DT17" i="67"/>
  <c r="EE17" i="67"/>
  <c r="EJ17" i="67"/>
  <c r="CZ17" i="67"/>
  <c r="DP17" i="67"/>
  <c r="EA17" i="67"/>
  <c r="EF17" i="67"/>
  <c r="DT16" i="67"/>
  <c r="DD16" i="67"/>
  <c r="EJ16" i="67"/>
  <c r="EB16" i="67"/>
  <c r="CZ16" i="67"/>
  <c r="DH16" i="67"/>
  <c r="DP16" i="67"/>
  <c r="CX16" i="67"/>
  <c r="DB16" i="67"/>
  <c r="DF16" i="67"/>
  <c r="DJ16" i="67"/>
  <c r="DN16" i="67"/>
  <c r="DR16" i="67"/>
  <c r="DZ16" i="67"/>
  <c r="ED16" i="67"/>
  <c r="EH16" i="67"/>
  <c r="CZ14" i="67"/>
  <c r="DD14" i="67"/>
  <c r="EF14" i="67"/>
  <c r="EJ14" i="67"/>
  <c r="DT14" i="67"/>
  <c r="DP14" i="67"/>
  <c r="EB13" i="67"/>
  <c r="CZ13" i="67"/>
  <c r="DH13" i="67"/>
  <c r="DP13" i="67"/>
  <c r="EF13" i="67"/>
  <c r="DD13" i="67"/>
  <c r="DL13" i="67"/>
  <c r="DL11" i="67"/>
  <c r="EB11" i="67"/>
  <c r="CZ11" i="67"/>
  <c r="DP11" i="67"/>
  <c r="EF11" i="67"/>
  <c r="DD11" i="67"/>
  <c r="DT11" i="67"/>
  <c r="DH11" i="67"/>
  <c r="DX11" i="67"/>
  <c r="AE11" i="67"/>
  <c r="BA11" i="67" s="1"/>
  <c r="EL11" i="67"/>
  <c r="DG9" i="67"/>
  <c r="EI9" i="67"/>
  <c r="DW9" i="67"/>
  <c r="CY10" i="67"/>
  <c r="DC10" i="67"/>
  <c r="DG10" i="67"/>
  <c r="DO10" i="67"/>
  <c r="DS10" i="67"/>
  <c r="DW10" i="67"/>
  <c r="EA10" i="67"/>
  <c r="EE10" i="67"/>
  <c r="EI10" i="67"/>
  <c r="CY9" i="67"/>
  <c r="DO9" i="67"/>
  <c r="EE9" i="67"/>
  <c r="DK9" i="67"/>
  <c r="EA9" i="67"/>
  <c r="CZ8" i="67"/>
  <c r="DH8" i="67"/>
  <c r="DP8" i="67"/>
  <c r="DX8" i="67"/>
  <c r="EF8" i="67"/>
  <c r="EJ8" i="67"/>
  <c r="DL6" i="67"/>
  <c r="DP6" i="67"/>
  <c r="EL7" i="67"/>
  <c r="CY6" i="67"/>
  <c r="DC6" i="67"/>
  <c r="DK6" i="67"/>
  <c r="DO6" i="67"/>
  <c r="DS6" i="67"/>
  <c r="DW6" i="67"/>
  <c r="EA6" i="67"/>
  <c r="EE6" i="67"/>
  <c r="EI6" i="67"/>
  <c r="DB5" i="67"/>
  <c r="DR5" i="67"/>
  <c r="EH5" i="67"/>
  <c r="CX5" i="67"/>
  <c r="DN5" i="67"/>
  <c r="CX4" i="67"/>
  <c r="DF4" i="67"/>
  <c r="DF32" i="67" s="1"/>
  <c r="DN4" i="67"/>
  <c r="DV4" i="67"/>
  <c r="ED4" i="67"/>
  <c r="DB4" i="67"/>
  <c r="DJ4" i="67"/>
  <c r="DJ32" i="67" s="1"/>
  <c r="DI32" i="67" s="1"/>
  <c r="DZ4" i="67"/>
  <c r="EH4" i="67"/>
  <c r="AZ32" i="67"/>
  <c r="AE4" i="67"/>
  <c r="BA4" i="67" s="1"/>
  <c r="BA32" i="67" s="1"/>
  <c r="EL4" i="67"/>
  <c r="CX12" i="67"/>
  <c r="DB12" i="67"/>
  <c r="DF12" i="67"/>
  <c r="DJ12" i="67"/>
  <c r="DN12" i="67"/>
  <c r="DR12" i="67"/>
  <c r="DV12" i="67"/>
  <c r="ED12" i="67"/>
  <c r="EH12" i="67"/>
  <c r="CY13" i="67"/>
  <c r="DC13" i="67"/>
  <c r="DG13" i="67"/>
  <c r="DW13" i="67"/>
  <c r="EH13" i="67"/>
  <c r="DG14" i="67"/>
  <c r="DW14" i="67"/>
  <c r="DZ14" i="67"/>
  <c r="AE15" i="67"/>
  <c r="BG15" i="67"/>
  <c r="BF15" i="67"/>
  <c r="CZ15" i="67"/>
  <c r="DP15" i="67"/>
  <c r="DR15" i="67"/>
  <c r="EF15" i="67"/>
  <c r="BF26" i="67"/>
  <c r="BH26" i="67" s="1"/>
  <c r="CY4" i="67"/>
  <c r="DC4" i="67"/>
  <c r="DG4" i="67"/>
  <c r="DK4" i="67"/>
  <c r="DK32" i="67" s="1"/>
  <c r="DO4" i="67"/>
  <c r="DW4" i="67"/>
  <c r="EA4" i="67"/>
  <c r="EE4" i="67"/>
  <c r="EI4" i="67"/>
  <c r="CX7" i="67"/>
  <c r="DB7" i="67"/>
  <c r="DF7" i="67"/>
  <c r="DJ7" i="67"/>
  <c r="DN7" i="67"/>
  <c r="DR7" i="67"/>
  <c r="DV7" i="67"/>
  <c r="DZ7" i="67"/>
  <c r="ED7" i="67"/>
  <c r="EH7" i="67"/>
  <c r="BF8" i="67"/>
  <c r="CY8" i="67"/>
  <c r="DC8" i="67"/>
  <c r="DG8" i="67"/>
  <c r="DK8" i="67"/>
  <c r="DO8" i="67"/>
  <c r="DS8" i="67"/>
  <c r="DW8" i="67"/>
  <c r="EE8" i="67"/>
  <c r="EI8" i="67"/>
  <c r="CX11" i="67"/>
  <c r="DF11" i="67"/>
  <c r="DJ11" i="67"/>
  <c r="DN11" i="67"/>
  <c r="DR11" i="67"/>
  <c r="DV11" i="67"/>
  <c r="DZ11" i="67"/>
  <c r="ED11" i="67"/>
  <c r="DC12" i="67"/>
  <c r="EI12" i="67"/>
  <c r="DN13" i="67"/>
  <c r="DX13" i="67"/>
  <c r="ED13" i="67"/>
  <c r="EI13" i="67"/>
  <c r="DF14" i="67"/>
  <c r="DS14" i="67"/>
  <c r="DV14" i="67"/>
  <c r="EB14" i="67"/>
  <c r="EI14" i="67"/>
  <c r="CX15" i="67"/>
  <c r="DL15" i="67"/>
  <c r="DN15" i="67"/>
  <c r="EB15" i="67"/>
  <c r="ED15" i="67"/>
  <c r="CX20" i="67"/>
  <c r="CY20" i="67"/>
  <c r="DF20" i="67"/>
  <c r="DG20" i="67"/>
  <c r="DN20" i="67"/>
  <c r="DO20" i="67"/>
  <c r="DV20" i="67"/>
  <c r="DW20" i="67"/>
  <c r="ED20" i="67"/>
  <c r="EE20" i="67"/>
  <c r="CZ21" i="67"/>
  <c r="DH21" i="67"/>
  <c r="DP21" i="67"/>
  <c r="DX21" i="67"/>
  <c r="EF21" i="67"/>
  <c r="AE26" i="67"/>
  <c r="BA26" i="67" s="1"/>
  <c r="EL26" i="67"/>
  <c r="AC32" i="67"/>
  <c r="BG4" i="67"/>
  <c r="DC7" i="67"/>
  <c r="DG7" i="67"/>
  <c r="DK7" i="67"/>
  <c r="DO7" i="67"/>
  <c r="DS7" i="67"/>
  <c r="DW7" i="67"/>
  <c r="EA7" i="67"/>
  <c r="EI7" i="67"/>
  <c r="AE10" i="67"/>
  <c r="CY11" i="67"/>
  <c r="DG11" i="67"/>
  <c r="DK11" i="67"/>
  <c r="DO11" i="67"/>
  <c r="DS11" i="67"/>
  <c r="DW11" i="67"/>
  <c r="EA11" i="67"/>
  <c r="EE11" i="67"/>
  <c r="DJ13" i="67"/>
  <c r="DO13" i="67"/>
  <c r="DZ13" i="67"/>
  <c r="EE13" i="67"/>
  <c r="BG14" i="67"/>
  <c r="CY14" i="67"/>
  <c r="DB14" i="67"/>
  <c r="DH14" i="67"/>
  <c r="DO14" i="67"/>
  <c r="DR14" i="67"/>
  <c r="EE14" i="67"/>
  <c r="EH14" i="67"/>
  <c r="DH15" i="67"/>
  <c r="DJ15" i="67"/>
  <c r="DX15" i="67"/>
  <c r="DZ15" i="67"/>
  <c r="CZ20" i="67"/>
  <c r="DH20" i="67"/>
  <c r="DP20" i="67"/>
  <c r="DX20" i="67"/>
  <c r="EF20" i="67"/>
  <c r="CX21" i="67"/>
  <c r="DF21" i="67"/>
  <c r="DN21" i="67"/>
  <c r="DV21" i="67"/>
  <c r="ED21" i="67"/>
  <c r="CY26" i="67"/>
  <c r="DC26" i="67"/>
  <c r="DG26" i="67"/>
  <c r="DK26" i="67"/>
  <c r="DO26" i="67"/>
  <c r="DW26" i="67"/>
  <c r="EA26" i="67"/>
  <c r="EE26" i="67"/>
  <c r="AE5" i="67"/>
  <c r="AE9" i="67"/>
  <c r="BB9" i="67" s="1"/>
  <c r="AE13" i="67"/>
  <c r="DK13" i="67"/>
  <c r="EL13" i="67"/>
  <c r="DF15" i="67"/>
  <c r="DT15" i="67"/>
  <c r="EJ15" i="67"/>
  <c r="DB20" i="67"/>
  <c r="DJ20" i="67"/>
  <c r="DK20" i="67"/>
  <c r="DR20" i="67"/>
  <c r="DS20" i="67"/>
  <c r="DZ20" i="67"/>
  <c r="EA20" i="67"/>
  <c r="EH20" i="67"/>
  <c r="DD21" i="67"/>
  <c r="DL21" i="67"/>
  <c r="DT21" i="67"/>
  <c r="EA21" i="67"/>
  <c r="EJ21" i="67"/>
  <c r="CY28" i="67"/>
  <c r="DG28" i="67"/>
  <c r="DK28" i="67"/>
  <c r="DO28" i="67"/>
  <c r="DS28" i="67"/>
  <c r="DW28" i="67"/>
  <c r="EA28" i="67"/>
  <c r="EE28" i="67"/>
  <c r="CZ29" i="67"/>
  <c r="DD29" i="67"/>
  <c r="DH29" i="67"/>
  <c r="DL29" i="67"/>
  <c r="DP29" i="67"/>
  <c r="DT29" i="67"/>
  <c r="DX29" i="67"/>
  <c r="EF29" i="67"/>
  <c r="EJ29" i="67"/>
  <c r="CY31" i="67"/>
  <c r="DC31" i="67"/>
  <c r="DG31" i="67"/>
  <c r="DK31" i="67"/>
  <c r="DS31" i="67"/>
  <c r="DW31" i="67"/>
  <c r="EA31" i="67"/>
  <c r="EE31" i="67"/>
  <c r="EI31" i="67"/>
  <c r="CZ28" i="67"/>
  <c r="DH28" i="67"/>
  <c r="DL28" i="67"/>
  <c r="DP28" i="67"/>
  <c r="DT28" i="67"/>
  <c r="DX28" i="67"/>
  <c r="EB28" i="67"/>
  <c r="EF28" i="67"/>
  <c r="AE30" i="67"/>
  <c r="EL30" i="67"/>
  <c r="CZ31" i="67"/>
  <c r="DD31" i="67"/>
  <c r="DH31" i="67"/>
  <c r="DL31" i="67"/>
  <c r="DT31" i="67"/>
  <c r="DX31" i="67"/>
  <c r="EB31" i="67"/>
  <c r="EF31" i="67"/>
  <c r="EJ31" i="67"/>
  <c r="CX29" i="67"/>
  <c r="DB29" i="67"/>
  <c r="DF29" i="67"/>
  <c r="DJ29" i="67"/>
  <c r="DN29" i="67"/>
  <c r="DR29" i="67"/>
  <c r="DV29" i="67"/>
  <c r="DZ29" i="67"/>
  <c r="ED29" i="67"/>
  <c r="EH29" i="67"/>
  <c r="CY30" i="67"/>
  <c r="DC30" i="67"/>
  <c r="DG30" i="67"/>
  <c r="DK30" i="67"/>
  <c r="DO30" i="67"/>
  <c r="DS30" i="67"/>
  <c r="DW30" i="67"/>
  <c r="EA30" i="67"/>
  <c r="EE30" i="67"/>
  <c r="BA20" i="67"/>
  <c r="C49" i="67"/>
  <c r="O49" i="67" s="1"/>
  <c r="P49" i="67" s="1"/>
  <c r="BB14" i="67"/>
  <c r="CA4" i="67"/>
  <c r="BH6" i="67"/>
  <c r="BH16" i="67"/>
  <c r="BH7" i="67"/>
  <c r="BH20" i="67"/>
  <c r="BH10" i="67"/>
  <c r="BH28" i="67"/>
  <c r="BA31" i="67"/>
  <c r="BH9" i="67"/>
  <c r="BH8" i="67"/>
  <c r="BH17" i="67"/>
  <c r="EH32" i="67"/>
  <c r="DB32" i="67"/>
  <c r="DA32" i="67" s="1"/>
  <c r="BH30" i="67"/>
  <c r="ED32" i="67"/>
  <c r="DN32" i="67"/>
  <c r="CX32" i="67"/>
  <c r="CW32" i="67" s="1"/>
  <c r="DZ32" i="67"/>
  <c r="EJ32" i="67"/>
  <c r="EF32" i="67"/>
  <c r="CZ32" i="67"/>
  <c r="DX32" i="67"/>
  <c r="DU32" i="67" s="1"/>
  <c r="EB32" i="67"/>
  <c r="DL32" i="67"/>
  <c r="DD32" i="67"/>
  <c r="DP32" i="67"/>
  <c r="DV32" i="67"/>
  <c r="EE32" i="67"/>
  <c r="DO32" i="67"/>
  <c r="EA32" i="67"/>
  <c r="EL32" i="67"/>
  <c r="DW32" i="67"/>
  <c r="BG32" i="67"/>
  <c r="EI32" i="67"/>
  <c r="DC32" i="67"/>
  <c r="DH32" i="67"/>
  <c r="BH15" i="67"/>
  <c r="BB4" i="67"/>
  <c r="BB32" i="67" s="1"/>
  <c r="BB13" i="67"/>
  <c r="BA13" i="67"/>
  <c r="BB26" i="67"/>
  <c r="CY32" i="67"/>
  <c r="BB30" i="67"/>
  <c r="BA30" i="67"/>
  <c r="BB15" i="67"/>
  <c r="BA15" i="67"/>
  <c r="BB5" i="67"/>
  <c r="BA5" i="67"/>
  <c r="BC7" i="67"/>
  <c r="CA32" i="67"/>
  <c r="CB32" i="67"/>
  <c r="DY32" i="67"/>
  <c r="D98" i="34"/>
  <c r="C98" i="34" s="1"/>
  <c r="D109" i="34"/>
  <c r="C109" i="34" s="1"/>
  <c r="D91" i="34"/>
  <c r="C91" i="34" s="1"/>
  <c r="D102" i="34"/>
  <c r="C102" i="34"/>
  <c r="D101" i="34"/>
  <c r="C101" i="34" s="1"/>
  <c r="D106" i="34"/>
  <c r="C106" i="34" s="1"/>
  <c r="D95" i="34"/>
  <c r="C95" i="34" s="1"/>
  <c r="D100" i="34"/>
  <c r="C100" i="34"/>
  <c r="D96" i="34"/>
  <c r="C96" i="34" s="1"/>
  <c r="D94" i="34"/>
  <c r="C94" i="34" s="1"/>
  <c r="D93" i="34"/>
  <c r="C93" i="34" s="1"/>
  <c r="D92" i="34"/>
  <c r="C92" i="34"/>
  <c r="D90" i="34"/>
  <c r="C90" i="34" s="1"/>
  <c r="B53" i="34"/>
  <c r="P52" i="34"/>
  <c r="O52" i="34"/>
  <c r="N52" i="34"/>
  <c r="M52" i="34"/>
  <c r="Y52" i="34" s="1"/>
  <c r="L52" i="34"/>
  <c r="X52" i="34" s="1"/>
  <c r="K52" i="34"/>
  <c r="W52" i="34" s="1"/>
  <c r="B52" i="34"/>
  <c r="P51" i="34"/>
  <c r="O51" i="34"/>
  <c r="N51" i="34"/>
  <c r="M51" i="34"/>
  <c r="Y51" i="34" s="1"/>
  <c r="L51" i="34"/>
  <c r="K51" i="34"/>
  <c r="W51" i="34" s="1"/>
  <c r="B51" i="34"/>
  <c r="P50" i="34"/>
  <c r="O50" i="34"/>
  <c r="AA50" i="34" s="1"/>
  <c r="N50" i="34"/>
  <c r="M50" i="34"/>
  <c r="Y50" i="34" s="1"/>
  <c r="L50" i="34"/>
  <c r="X50" i="34" s="1"/>
  <c r="K50" i="34"/>
  <c r="B50" i="34"/>
  <c r="B49" i="34"/>
  <c r="P48" i="34"/>
  <c r="O48" i="34"/>
  <c r="N48" i="34"/>
  <c r="M48" i="34"/>
  <c r="BW4" i="70" s="1"/>
  <c r="BZ4" i="70" s="1"/>
  <c r="L48" i="34"/>
  <c r="BV4" i="70" s="1"/>
  <c r="BY4" i="70" s="1"/>
  <c r="K48" i="34"/>
  <c r="BU4" i="70" s="1"/>
  <c r="BX4" i="70" s="1"/>
  <c r="B48" i="34"/>
  <c r="BN4" i="70" s="1"/>
  <c r="BO4" i="70" s="1"/>
  <c r="P47" i="34"/>
  <c r="AB47" i="34" s="1"/>
  <c r="O47" i="34"/>
  <c r="N47" i="34"/>
  <c r="M47" i="34"/>
  <c r="L47" i="34"/>
  <c r="K47" i="34"/>
  <c r="B47" i="34"/>
  <c r="B46" i="34"/>
  <c r="BN5" i="70" s="1"/>
  <c r="BO5" i="70" s="1"/>
  <c r="BP5" i="70" s="1"/>
  <c r="B45" i="34"/>
  <c r="BN6" i="70" s="1"/>
  <c r="BO6" i="70" s="1"/>
  <c r="BP6" i="70" s="1"/>
  <c r="P44" i="34"/>
  <c r="O44" i="34"/>
  <c r="N44" i="34"/>
  <c r="M44" i="34"/>
  <c r="L44" i="34"/>
  <c r="X44" i="34" s="1"/>
  <c r="K44" i="34"/>
  <c r="W44" i="34" s="1"/>
  <c r="B44" i="34"/>
  <c r="P43" i="34"/>
  <c r="AB43" i="34" s="1"/>
  <c r="O43" i="34"/>
  <c r="N43" i="34"/>
  <c r="Z43" i="34" s="1"/>
  <c r="M43" i="34"/>
  <c r="L43" i="34"/>
  <c r="K43" i="34"/>
  <c r="B43" i="34"/>
  <c r="P42" i="34"/>
  <c r="AB42" i="34" s="1"/>
  <c r="O42" i="34"/>
  <c r="AA42" i="34" s="1"/>
  <c r="N42" i="34"/>
  <c r="M42" i="34"/>
  <c r="L42" i="34"/>
  <c r="K42" i="34"/>
  <c r="B42" i="34"/>
  <c r="B41" i="34"/>
  <c r="B40" i="34"/>
  <c r="B39" i="34"/>
  <c r="B38" i="34"/>
  <c r="B37" i="34"/>
  <c r="B36" i="34"/>
  <c r="B35" i="34"/>
  <c r="B34" i="34"/>
  <c r="B33" i="34"/>
  <c r="B32" i="34"/>
  <c r="P31" i="34"/>
  <c r="AB31" i="34" s="1"/>
  <c r="O31" i="34"/>
  <c r="N31" i="34"/>
  <c r="M31" i="34"/>
  <c r="L31" i="34"/>
  <c r="K31" i="34"/>
  <c r="W31" i="34" s="1"/>
  <c r="B31" i="34"/>
  <c r="B30" i="34"/>
  <c r="B29" i="34"/>
  <c r="P28" i="34"/>
  <c r="O28" i="34"/>
  <c r="N28" i="34"/>
  <c r="M28" i="34"/>
  <c r="L28" i="34"/>
  <c r="K28" i="34"/>
  <c r="W28" i="34" s="1"/>
  <c r="B28" i="34"/>
  <c r="B27" i="34"/>
  <c r="BN7" i="70" s="1"/>
  <c r="BO7" i="70" s="1"/>
  <c r="BP7" i="70" s="1"/>
  <c r="B26" i="34"/>
  <c r="B25" i="34"/>
  <c r="B24" i="34"/>
  <c r="B23" i="34"/>
  <c r="B22" i="34"/>
  <c r="B21" i="34"/>
  <c r="B20" i="34"/>
  <c r="P19" i="34"/>
  <c r="AB19" i="34" s="1"/>
  <c r="O19" i="34"/>
  <c r="N19" i="34"/>
  <c r="Z19" i="34" s="1"/>
  <c r="M19" i="34"/>
  <c r="L19" i="34"/>
  <c r="K19" i="34"/>
  <c r="W19" i="34" s="1"/>
  <c r="B19" i="34"/>
  <c r="B18" i="34"/>
  <c r="B17" i="34"/>
  <c r="B16" i="34"/>
  <c r="P15" i="34"/>
  <c r="AB15" i="34" s="1"/>
  <c r="O15" i="34"/>
  <c r="N15" i="34"/>
  <c r="M15" i="34"/>
  <c r="Y15" i="34" s="1"/>
  <c r="L15" i="34"/>
  <c r="K15" i="34"/>
  <c r="W15" i="34" s="1"/>
  <c r="B15" i="34"/>
  <c r="B14" i="34"/>
  <c r="B13" i="34"/>
  <c r="B12" i="34"/>
  <c r="P11" i="34"/>
  <c r="O11" i="34"/>
  <c r="AA11" i="34" s="1"/>
  <c r="N11" i="34"/>
  <c r="Z11" i="34" s="1"/>
  <c r="M11" i="34"/>
  <c r="Y11" i="34" s="1"/>
  <c r="L11" i="34"/>
  <c r="X11" i="34" s="1"/>
  <c r="K11" i="34"/>
  <c r="W11" i="34" s="1"/>
  <c r="B11" i="34"/>
  <c r="B10" i="34"/>
  <c r="B9" i="34"/>
  <c r="B8" i="34"/>
  <c r="B7" i="34"/>
  <c r="B6" i="34"/>
  <c r="B5" i="34"/>
  <c r="B4" i="34"/>
  <c r="Z2" i="34"/>
  <c r="Z41" i="34" s="1"/>
  <c r="X2" i="34"/>
  <c r="Y47" i="34" s="1"/>
  <c r="W53" i="34"/>
  <c r="X28" i="34"/>
  <c r="AA31" i="34"/>
  <c r="W47" i="34"/>
  <c r="X42" i="34"/>
  <c r="AB11" i="34"/>
  <c r="W38" i="34"/>
  <c r="Y41" i="34"/>
  <c r="Y42" i="34"/>
  <c r="Z44" i="34"/>
  <c r="Z48" i="34"/>
  <c r="AB50" i="34"/>
  <c r="Z52" i="34"/>
  <c r="AA43" i="34"/>
  <c r="Z31" i="34"/>
  <c r="AA44" i="34"/>
  <c r="Z15" i="34"/>
  <c r="Y18" i="34"/>
  <c r="Y19" i="34"/>
  <c r="X43" i="34"/>
  <c r="AB48" i="34"/>
  <c r="AA19" i="34"/>
  <c r="Y28" i="34"/>
  <c r="Y43" i="34"/>
  <c r="AA52" i="34"/>
  <c r="AA15" i="34"/>
  <c r="X31" i="34"/>
  <c r="W42" i="34"/>
  <c r="X51" i="34"/>
  <c r="Z28" i="34"/>
  <c r="Z42" i="34"/>
  <c r="W43" i="34"/>
  <c r="AB44" i="34"/>
  <c r="X15" i="34"/>
  <c r="X19" i="34"/>
  <c r="AA28" i="34"/>
  <c r="X47" i="34"/>
  <c r="W48" i="34"/>
  <c r="AA48" i="34"/>
  <c r="Z50" i="34"/>
  <c r="X8" i="34"/>
  <c r="X34" i="34"/>
  <c r="Y38" i="34"/>
  <c r="W41" i="34"/>
  <c r="AA41" i="34"/>
  <c r="X53" i="34"/>
  <c r="X18" i="34"/>
  <c r="X41" i="34"/>
  <c r="Y44" i="34"/>
  <c r="Z47" i="34"/>
  <c r="W50" i="34"/>
  <c r="AB52" i="34"/>
  <c r="Y53" i="34"/>
  <c r="W8" i="34"/>
  <c r="W34" i="34"/>
  <c r="CK32" i="67" l="1"/>
  <c r="CH32" i="67"/>
  <c r="DM32" i="67"/>
  <c r="BC14" i="67"/>
  <c r="BD9" i="67"/>
  <c r="DK10" i="67"/>
  <c r="DJ10" i="67"/>
  <c r="DL10" i="67"/>
  <c r="BE10" i="67" s="1"/>
  <c r="DD20" i="67"/>
  <c r="DC20" i="67"/>
  <c r="BD20" i="67" s="1"/>
  <c r="BS20" i="67"/>
  <c r="CC20" i="67" s="1"/>
  <c r="BR20" i="67"/>
  <c r="CB20" i="67" s="1"/>
  <c r="BT20" i="67"/>
  <c r="CM20" i="67" s="1"/>
  <c r="BQ20" i="67"/>
  <c r="CA20" i="67" s="1"/>
  <c r="EI20" i="67"/>
  <c r="EJ20" i="67"/>
  <c r="AE21" i="67"/>
  <c r="DC21" i="67"/>
  <c r="CY21" i="67"/>
  <c r="EE21" i="67"/>
  <c r="EI21" i="67"/>
  <c r="DG21" i="67"/>
  <c r="DK21" i="67"/>
  <c r="DO21" i="67"/>
  <c r="DS21" i="67"/>
  <c r="DW21" i="67"/>
  <c r="BF21" i="67"/>
  <c r="BH21" i="67" s="1"/>
  <c r="BG21" i="67"/>
  <c r="EB21" i="67"/>
  <c r="BE21" i="67" s="1"/>
  <c r="DZ21" i="67"/>
  <c r="BC21" i="67" s="1"/>
  <c r="DT26" i="67"/>
  <c r="DS26" i="67"/>
  <c r="BD26" i="67" s="1"/>
  <c r="DR26" i="67"/>
  <c r="EC32" i="67"/>
  <c r="DG32" i="67"/>
  <c r="DE32" i="67" s="1"/>
  <c r="EA8" i="67"/>
  <c r="EB8" i="67"/>
  <c r="BE8" i="67" s="1"/>
  <c r="DZ8" i="67"/>
  <c r="DT9" i="67"/>
  <c r="BE9" i="67" s="1"/>
  <c r="DR9" i="67"/>
  <c r="DS9" i="67"/>
  <c r="DL17" i="67"/>
  <c r="DJ17" i="67"/>
  <c r="BC17" i="67" s="1"/>
  <c r="CP9" i="67"/>
  <c r="CS9" i="67" s="1"/>
  <c r="CR9" i="67"/>
  <c r="CE5" i="67"/>
  <c r="BY32" i="67"/>
  <c r="BE20" i="67"/>
  <c r="BA28" i="67"/>
  <c r="BB28" i="67"/>
  <c r="AJ32" i="67"/>
  <c r="AZ7" i="67"/>
  <c r="BQ7" i="67"/>
  <c r="BT7" i="67"/>
  <c r="CM7" i="67" s="1"/>
  <c r="CY7" i="67"/>
  <c r="BD7" i="67" s="1"/>
  <c r="BR7" i="67"/>
  <c r="CZ7" i="67"/>
  <c r="BE7" i="67" s="1"/>
  <c r="BS7" i="67"/>
  <c r="CC7" i="67" s="1"/>
  <c r="EE7" i="67"/>
  <c r="EF7" i="67"/>
  <c r="DJ8" i="67"/>
  <c r="ED8" i="67"/>
  <c r="N32" i="67"/>
  <c r="EH8" i="67"/>
  <c r="CX8" i="67"/>
  <c r="DV8" i="67"/>
  <c r="DF8" i="67"/>
  <c r="AE8" i="67"/>
  <c r="DR8" i="67"/>
  <c r="DN8" i="67"/>
  <c r="M68" i="34"/>
  <c r="AY7" i="67"/>
  <c r="BD30" i="67"/>
  <c r="BB10" i="67"/>
  <c r="BA10" i="67"/>
  <c r="DL5" i="67"/>
  <c r="BE5" i="67" s="1"/>
  <c r="DJ5" i="67"/>
  <c r="BC5" i="67" s="1"/>
  <c r="DK5" i="67"/>
  <c r="BD5" i="67" s="1"/>
  <c r="EB6" i="67"/>
  <c r="DX6" i="67"/>
  <c r="DD6" i="67"/>
  <c r="AE6" i="67"/>
  <c r="DT6" i="67"/>
  <c r="EJ6" i="67"/>
  <c r="AD32" i="67"/>
  <c r="CZ6" i="67"/>
  <c r="DG6" i="67"/>
  <c r="BD6" i="67" s="1"/>
  <c r="DF6" i="67"/>
  <c r="BC6" i="67" s="1"/>
  <c r="DH6" i="67"/>
  <c r="DV16" i="67"/>
  <c r="BC16" i="67" s="1"/>
  <c r="DX16" i="67"/>
  <c r="BE16" i="67" s="1"/>
  <c r="DW16" i="67"/>
  <c r="BP4" i="70"/>
  <c r="BP32" i="70" s="1"/>
  <c r="C54" i="70" s="1"/>
  <c r="O54" i="70" s="1"/>
  <c r="P54" i="70" s="1"/>
  <c r="BO32" i="70"/>
  <c r="EG32" i="67"/>
  <c r="BD10" i="67"/>
  <c r="BD17" i="67"/>
  <c r="EF6" i="67"/>
  <c r="M32" i="67"/>
  <c r="AH32" i="67"/>
  <c r="AO32" i="67"/>
  <c r="DS4" i="67"/>
  <c r="DS32" i="67" s="1"/>
  <c r="DT4" i="67"/>
  <c r="DR4" i="67"/>
  <c r="DR32" i="67" s="1"/>
  <c r="BF32" i="67"/>
  <c r="BH4" i="67"/>
  <c r="BH32" i="67" s="1"/>
  <c r="AF32" i="67"/>
  <c r="BD14" i="67"/>
  <c r="BE17" i="67"/>
  <c r="BC26" i="67"/>
  <c r="BH14" i="67"/>
  <c r="BC10" i="67"/>
  <c r="AY10" i="67" s="1"/>
  <c r="BC31" i="67"/>
  <c r="BC9" i="67"/>
  <c r="AY9" i="67" s="1"/>
  <c r="BQ15" i="67"/>
  <c r="CA15" i="67" s="1"/>
  <c r="DC15" i="67"/>
  <c r="BT15" i="67"/>
  <c r="CM15" i="67" s="1"/>
  <c r="DD15" i="67"/>
  <c r="BE15" i="67" s="1"/>
  <c r="BR15" i="67"/>
  <c r="CB15" i="67" s="1"/>
  <c r="BS15" i="67"/>
  <c r="CC15" i="67" s="1"/>
  <c r="DB15" i="67"/>
  <c r="BC15" i="67" s="1"/>
  <c r="EI15" i="67"/>
  <c r="EH15" i="67"/>
  <c r="EL16" i="67"/>
  <c r="EA16" i="67"/>
  <c r="DG16" i="67"/>
  <c r="DK16" i="67"/>
  <c r="AE16" i="67"/>
  <c r="CY16" i="67"/>
  <c r="BD16" i="67" s="1"/>
  <c r="DC16" i="67"/>
  <c r="DS16" i="67"/>
  <c r="DO16" i="67"/>
  <c r="EI16" i="67"/>
  <c r="EE16" i="67"/>
  <c r="DN31" i="67"/>
  <c r="BQ31" i="67"/>
  <c r="CA31" i="67" s="1"/>
  <c r="DP31" i="67"/>
  <c r="BE31" i="67" s="1"/>
  <c r="BS31" i="67"/>
  <c r="CC31" i="67" s="1"/>
  <c r="DO31" i="67"/>
  <c r="BD31" i="67" s="1"/>
  <c r="BT31" i="67"/>
  <c r="CM31" i="67" s="1"/>
  <c r="BR31" i="67"/>
  <c r="CB31" i="67" s="1"/>
  <c r="BC29" i="67"/>
  <c r="BC20" i="67"/>
  <c r="BC11" i="67"/>
  <c r="BE26" i="67"/>
  <c r="BA29" i="67"/>
  <c r="BB29" i="67"/>
  <c r="BT11" i="67"/>
  <c r="CM11" i="67" s="1"/>
  <c r="DJ14" i="67"/>
  <c r="DL14" i="67"/>
  <c r="BE14" i="67" s="1"/>
  <c r="DB28" i="67"/>
  <c r="BC28" i="67" s="1"/>
  <c r="BT28" i="67"/>
  <c r="CM28" i="67" s="1"/>
  <c r="DD28" i="67"/>
  <c r="BR28" i="67"/>
  <c r="CB28" i="67" s="1"/>
  <c r="DC28" i="67"/>
  <c r="BS28" i="67"/>
  <c r="CC28" i="67" s="1"/>
  <c r="BQ28" i="67"/>
  <c r="CA28" i="67" s="1"/>
  <c r="EH28" i="67"/>
  <c r="EI28" i="67"/>
  <c r="EJ28" i="67"/>
  <c r="DK29" i="67"/>
  <c r="DC29" i="67"/>
  <c r="DG29" i="67"/>
  <c r="DS29" i="67"/>
  <c r="DW29" i="67"/>
  <c r="CY29" i="67"/>
  <c r="EI29" i="67"/>
  <c r="EL29" i="67"/>
  <c r="DO29" i="67"/>
  <c r="EE29" i="67"/>
  <c r="EA29" i="67"/>
  <c r="EB29" i="67"/>
  <c r="BE29" i="67" s="1"/>
  <c r="DT30" i="67"/>
  <c r="BE30" i="67" s="1"/>
  <c r="DR30" i="67"/>
  <c r="BC30" i="67" s="1"/>
  <c r="CQ32" i="67"/>
  <c r="BD8" i="67"/>
  <c r="DC11" i="67"/>
  <c r="BD11" i="67" s="1"/>
  <c r="BQ11" i="67"/>
  <c r="CA11" i="67" s="1"/>
  <c r="DB11" i="67"/>
  <c r="BS11" i="67"/>
  <c r="CC11" i="67" s="1"/>
  <c r="EJ11" i="67"/>
  <c r="BE11" i="67" s="1"/>
  <c r="EI11" i="67"/>
  <c r="EH11" i="67"/>
  <c r="U32" i="67"/>
  <c r="DK12" i="67"/>
  <c r="DO12" i="67"/>
  <c r="DS12" i="67"/>
  <c r="DW12" i="67"/>
  <c r="AE12" i="67"/>
  <c r="CY12" i="67"/>
  <c r="BD12" i="67" s="1"/>
  <c r="EE12" i="67"/>
  <c r="EL12" i="67"/>
  <c r="DG12" i="67"/>
  <c r="BG12" i="67"/>
  <c r="AV32" i="67"/>
  <c r="BF12" i="67"/>
  <c r="BH12" i="67" s="1"/>
  <c r="EB12" i="67"/>
  <c r="BE12" i="67" s="1"/>
  <c r="EA12" i="67"/>
  <c r="DZ12" i="67"/>
  <c r="BC12" i="67" s="1"/>
  <c r="DS13" i="67"/>
  <c r="BD13" i="67" s="1"/>
  <c r="DT13" i="67"/>
  <c r="BE13" i="67" s="1"/>
  <c r="DR13" i="67"/>
  <c r="BC13" i="67" s="1"/>
  <c r="DK27" i="67"/>
  <c r="BD27" i="67" s="1"/>
  <c r="DJ27" i="67"/>
  <c r="BC27" i="67" s="1"/>
  <c r="AY27" i="67" s="1"/>
  <c r="DL27" i="67"/>
  <c r="BE27" i="67" s="1"/>
  <c r="S119" i="34"/>
  <c r="Z119" i="34" s="1"/>
  <c r="X119" i="34"/>
  <c r="DN4" i="70"/>
  <c r="BS4" i="70"/>
  <c r="DO4" i="70"/>
  <c r="BR4" i="70"/>
  <c r="DP4" i="70"/>
  <c r="BQ4" i="70"/>
  <c r="AB28" i="34"/>
  <c r="CD4" i="70"/>
  <c r="CD32" i="70" s="1"/>
  <c r="BX32" i="70"/>
  <c r="BC4" i="67"/>
  <c r="BA7" i="67"/>
  <c r="BR11" i="67"/>
  <c r="CB11" i="67" s="1"/>
  <c r="BS10" i="67"/>
  <c r="CC10" i="67" s="1"/>
  <c r="BT6" i="67"/>
  <c r="CM6" i="67" s="1"/>
  <c r="CR21" i="67"/>
  <c r="CR8" i="67"/>
  <c r="CR15" i="67"/>
  <c r="BD24" i="67"/>
  <c r="AY24" i="67" s="1"/>
  <c r="AP58" i="67"/>
  <c r="H58" i="67" s="1"/>
  <c r="BE22" i="67"/>
  <c r="AB41" i="34"/>
  <c r="BY32" i="70"/>
  <c r="CE4" i="70"/>
  <c r="CE32" i="70" s="1"/>
  <c r="BB11" i="67"/>
  <c r="AR63" i="67"/>
  <c r="I63" i="67" s="1"/>
  <c r="I71" i="67" s="1"/>
  <c r="AR62" i="67"/>
  <c r="I62" i="67" s="1"/>
  <c r="AR61" i="67"/>
  <c r="I61" i="67" s="1"/>
  <c r="AR69" i="67"/>
  <c r="I69" i="67" s="1"/>
  <c r="W118" i="34"/>
  <c r="T118" i="34"/>
  <c r="AA118" i="34" s="1"/>
  <c r="BB38" i="67"/>
  <c r="BB45" i="67" s="1"/>
  <c r="BC38" i="67"/>
  <c r="BC45" i="67" s="1"/>
  <c r="CD4" i="67"/>
  <c r="CD32" i="67" s="1"/>
  <c r="CQ31" i="67"/>
  <c r="CO31" i="67"/>
  <c r="CP23" i="67"/>
  <c r="CS23" i="67" s="1"/>
  <c r="AP45" i="67"/>
  <c r="H45" i="67" s="1"/>
  <c r="CF4" i="70"/>
  <c r="CF32" i="70" s="1"/>
  <c r="BZ32" i="70"/>
  <c r="Y34" i="34"/>
  <c r="W18" i="34"/>
  <c r="Y31" i="34"/>
  <c r="DP5" i="67"/>
  <c r="DF5" i="67"/>
  <c r="BT4" i="67"/>
  <c r="BC22" i="67"/>
  <c r="CP22" i="67"/>
  <c r="CS22" i="67" s="1"/>
  <c r="CR22" i="67"/>
  <c r="DW22" i="67"/>
  <c r="BD22" i="67" s="1"/>
  <c r="DX22" i="67"/>
  <c r="DV22" i="67"/>
  <c r="BS4" i="67"/>
  <c r="CQ26" i="67"/>
  <c r="CO26" i="67"/>
  <c r="O123" i="34"/>
  <c r="Q122" i="34" s="1"/>
  <c r="X122" i="34" s="1"/>
  <c r="N49" i="70" s="1"/>
  <c r="O49" i="70" s="1"/>
  <c r="P49" i="70" s="1"/>
  <c r="Q123" i="34"/>
  <c r="X123" i="34" s="1"/>
  <c r="BB58" i="67"/>
  <c r="BA9" i="67"/>
  <c r="X38" i="34"/>
  <c r="Y48" i="34"/>
  <c r="Y8" i="34"/>
  <c r="AA47" i="34"/>
  <c r="X48" i="34"/>
  <c r="CO29" i="67"/>
  <c r="CO10" i="67"/>
  <c r="CQ10" i="67"/>
  <c r="BO32" i="67"/>
  <c r="BC23" i="67"/>
  <c r="AY23" i="67" s="1"/>
  <c r="DX25" i="67"/>
  <c r="BE25" i="67" s="1"/>
  <c r="DV25" i="67"/>
  <c r="BC25" i="67" s="1"/>
  <c r="DW25" i="67"/>
  <c r="BD25" i="67" s="1"/>
  <c r="BS19" i="67"/>
  <c r="CC19" i="67" s="1"/>
  <c r="DD19" i="67"/>
  <c r="BQ19" i="67"/>
  <c r="CA19" i="67" s="1"/>
  <c r="DC19" i="67"/>
  <c r="BT19" i="67"/>
  <c r="CM19" i="67" s="1"/>
  <c r="DB19" i="67"/>
  <c r="EH19" i="67"/>
  <c r="EI19" i="67"/>
  <c r="EJ19" i="67"/>
  <c r="BG24" i="67"/>
  <c r="BH24" i="67" s="1"/>
  <c r="EL18" i="67"/>
  <c r="BS18" i="67"/>
  <c r="CC18" i="67" s="1"/>
  <c r="DD18" i="67"/>
  <c r="BE18" i="67" s="1"/>
  <c r="BT18" i="67"/>
  <c r="CM18" i="67" s="1"/>
  <c r="BR18" i="67"/>
  <c r="CB18" i="67" s="1"/>
  <c r="EH18" i="67"/>
  <c r="BC18" i="67" s="1"/>
  <c r="EJ18" i="67"/>
  <c r="EI18" i="67"/>
  <c r="EL19" i="67"/>
  <c r="DS19" i="67"/>
  <c r="AE19" i="67"/>
  <c r="DW19" i="67"/>
  <c r="CY19" i="67"/>
  <c r="EE19" i="67"/>
  <c r="BG19" i="67"/>
  <c r="BF19" i="67"/>
  <c r="BH19" i="67" s="1"/>
  <c r="EA18" i="67"/>
  <c r="BE21" i="70"/>
  <c r="AY21" i="70" s="1"/>
  <c r="DC18" i="67"/>
  <c r="K72" i="67"/>
  <c r="K45" i="67"/>
  <c r="BF18" i="67"/>
  <c r="BH18" i="67" s="1"/>
  <c r="BC51" i="67"/>
  <c r="BC58" i="67" s="1"/>
  <c r="BB51" i="67"/>
  <c r="BD29" i="70"/>
  <c r="Q118" i="34"/>
  <c r="EA19" i="67"/>
  <c r="BC19" i="67"/>
  <c r="DW18" i="67"/>
  <c r="AX71" i="67"/>
  <c r="CQ18" i="67"/>
  <c r="CO18" i="67"/>
  <c r="BC62" i="67"/>
  <c r="BC71" i="67" s="1"/>
  <c r="BB62" i="67"/>
  <c r="BB71" i="67" s="1"/>
  <c r="I45" i="70"/>
  <c r="EE18" i="67"/>
  <c r="AE18" i="67"/>
  <c r="DK18" i="67"/>
  <c r="CY18" i="67"/>
  <c r="DS18" i="67"/>
  <c r="CR19" i="67"/>
  <c r="CP19" i="67"/>
  <c r="CS19" i="67" s="1"/>
  <c r="CQ19" i="67"/>
  <c r="BC63" i="67"/>
  <c r="BC18" i="70"/>
  <c r="AE5" i="70"/>
  <c r="ED5" i="70"/>
  <c r="DF5" i="70"/>
  <c r="BC5" i="70" s="1"/>
  <c r="DJ5" i="70"/>
  <c r="DJ32" i="70" s="1"/>
  <c r="DN5" i="70"/>
  <c r="DR5" i="70"/>
  <c r="DR32" i="70" s="1"/>
  <c r="DV5" i="70"/>
  <c r="DV32" i="70" s="1"/>
  <c r="BH5" i="70"/>
  <c r="DH18" i="67"/>
  <c r="DX19" i="67"/>
  <c r="AX40" i="67"/>
  <c r="AX45" i="67" s="1"/>
  <c r="AW52" i="67"/>
  <c r="AY52" i="67" s="1"/>
  <c r="DD5" i="70"/>
  <c r="DC5" i="70"/>
  <c r="DP19" i="67"/>
  <c r="BE19" i="67" s="1"/>
  <c r="DT19" i="67"/>
  <c r="AX52" i="67"/>
  <c r="AX48" i="67"/>
  <c r="AX58" i="67" s="1"/>
  <c r="AW48" i="67"/>
  <c r="AY48" i="67" s="1"/>
  <c r="AY58" i="67" s="1"/>
  <c r="BR6" i="70"/>
  <c r="CB6" i="70" s="1"/>
  <c r="DO6" i="70"/>
  <c r="DP6" i="70"/>
  <c r="DN6" i="70"/>
  <c r="BC6" i="70" s="1"/>
  <c r="BS6" i="70"/>
  <c r="CC6" i="70" s="1"/>
  <c r="EB18" i="70"/>
  <c r="DT18" i="70"/>
  <c r="CZ18" i="70"/>
  <c r="DP18" i="70"/>
  <c r="EF18" i="70"/>
  <c r="AX54" i="67"/>
  <c r="BC71" i="70"/>
  <c r="BA71" i="70" s="1"/>
  <c r="BE23" i="70"/>
  <c r="AW61" i="67"/>
  <c r="AY61" i="67" s="1"/>
  <c r="AY71" i="67" s="1"/>
  <c r="DJ7" i="70"/>
  <c r="DK7" i="70"/>
  <c r="BE14" i="70"/>
  <c r="AY14" i="70" s="1"/>
  <c r="AW44" i="67"/>
  <c r="AY44" i="67" s="1"/>
  <c r="AY45" i="67" s="1"/>
  <c r="AX60" i="67"/>
  <c r="AW60" i="67"/>
  <c r="AY60" i="67" s="1"/>
  <c r="I71" i="70"/>
  <c r="BC27" i="70"/>
  <c r="BC22" i="70"/>
  <c r="EB4" i="70"/>
  <c r="DH7" i="70"/>
  <c r="EF5" i="70"/>
  <c r="AE6" i="70"/>
  <c r="DD6" i="70"/>
  <c r="DF12" i="70"/>
  <c r="EH12" i="70"/>
  <c r="DB12" i="70"/>
  <c r="DR12" i="70"/>
  <c r="DV17" i="70"/>
  <c r="DX17" i="70"/>
  <c r="BE17" i="70" s="1"/>
  <c r="AR40" i="70"/>
  <c r="I40" i="70" s="1"/>
  <c r="CZ7" i="70"/>
  <c r="BE7" i="70" s="1"/>
  <c r="CX4" i="70"/>
  <c r="CZ4" i="70"/>
  <c r="BT4" i="70"/>
  <c r="EJ5" i="70"/>
  <c r="EH5" i="70"/>
  <c r="BF6" i="70"/>
  <c r="BH6" i="70" s="1"/>
  <c r="DX6" i="70"/>
  <c r="BF7" i="70"/>
  <c r="BS9" i="70"/>
  <c r="CC9" i="70" s="1"/>
  <c r="DD9" i="70"/>
  <c r="BT9" i="70"/>
  <c r="CM9" i="70" s="1"/>
  <c r="BH10" i="70"/>
  <c r="DO20" i="70"/>
  <c r="DN20" i="70"/>
  <c r="BA22" i="70"/>
  <c r="BB22" i="70"/>
  <c r="BT12" i="70"/>
  <c r="CM12" i="70" s="1"/>
  <c r="BQ12" i="70"/>
  <c r="CA12" i="70" s="1"/>
  <c r="BS12" i="70"/>
  <c r="CC12" i="70" s="1"/>
  <c r="AE13" i="70"/>
  <c r="AE15" i="70"/>
  <c r="DX5" i="70"/>
  <c r="DH5" i="70"/>
  <c r="DP5" i="70"/>
  <c r="DH6" i="70"/>
  <c r="EB6" i="70"/>
  <c r="EH7" i="70"/>
  <c r="EI7" i="70"/>
  <c r="EJ7" i="70"/>
  <c r="BG8" i="70"/>
  <c r="BF8" i="70"/>
  <c r="DF32" i="70"/>
  <c r="DZ32" i="70"/>
  <c r="DS5" i="70"/>
  <c r="DT5" i="70"/>
  <c r="DV9" i="70"/>
  <c r="DJ9" i="70"/>
  <c r="BG9" i="70"/>
  <c r="BH9" i="70" s="1"/>
  <c r="DP10" i="70"/>
  <c r="DL10" i="70"/>
  <c r="AE10" i="70"/>
  <c r="DH10" i="70"/>
  <c r="DX11" i="70"/>
  <c r="DW11" i="70"/>
  <c r="EJ18" i="70"/>
  <c r="ED4" i="70"/>
  <c r="EF4" i="70"/>
  <c r="BT5" i="70"/>
  <c r="CM5" i="70" s="1"/>
  <c r="BS5" i="70"/>
  <c r="CC5" i="70" s="1"/>
  <c r="BR5" i="70"/>
  <c r="CB5" i="70" s="1"/>
  <c r="CZ5" i="70"/>
  <c r="BQ5" i="70"/>
  <c r="CA5" i="70" s="1"/>
  <c r="CO6" i="70"/>
  <c r="CQ6" i="70"/>
  <c r="DL6" i="70"/>
  <c r="DL32" i="70" s="1"/>
  <c r="BT7" i="70"/>
  <c r="CM7" i="70" s="1"/>
  <c r="DB7" i="70"/>
  <c r="DB32" i="70" s="1"/>
  <c r="BQ7" i="70"/>
  <c r="CA7" i="70" s="1"/>
  <c r="DC7" i="70"/>
  <c r="DD7" i="70"/>
  <c r="CP11" i="70"/>
  <c r="CS11" i="70" s="1"/>
  <c r="CR11" i="70"/>
  <c r="DL18" i="70"/>
  <c r="AD32" i="70"/>
  <c r="DT4" i="70"/>
  <c r="DT32" i="70" s="1"/>
  <c r="BT6" i="70"/>
  <c r="CM6" i="70" s="1"/>
  <c r="DK6" i="70"/>
  <c r="CP9" i="70"/>
  <c r="CS9" i="70" s="1"/>
  <c r="CR9" i="70"/>
  <c r="CY11" i="70"/>
  <c r="BS11" i="70"/>
  <c r="CC11" i="70" s="1"/>
  <c r="EE15" i="70"/>
  <c r="BD15" i="70" s="1"/>
  <c r="AY15" i="70" s="1"/>
  <c r="EF15" i="70"/>
  <c r="BE15" i="70" s="1"/>
  <c r="DX23" i="70"/>
  <c r="DW23" i="70"/>
  <c r="DL9" i="70"/>
  <c r="EB9" i="70"/>
  <c r="EI11" i="70"/>
  <c r="BG13" i="70"/>
  <c r="BH13" i="70" s="1"/>
  <c r="DB13" i="70"/>
  <c r="DG16" i="70"/>
  <c r="CX17" i="70"/>
  <c r="CP18" i="70"/>
  <c r="CS18" i="70" s="1"/>
  <c r="CY19" i="70"/>
  <c r="BR19" i="70"/>
  <c r="CB19" i="70" s="1"/>
  <c r="CZ19" i="70"/>
  <c r="DK20" i="70"/>
  <c r="EE20" i="70"/>
  <c r="BG29" i="70"/>
  <c r="BF29" i="70"/>
  <c r="BF4" i="70"/>
  <c r="CO7" i="70"/>
  <c r="BG7" i="70"/>
  <c r="BG32" i="70" s="1"/>
  <c r="EH9" i="70"/>
  <c r="EH32" i="70" s="1"/>
  <c r="BQ9" i="70"/>
  <c r="CA9" i="70" s="1"/>
  <c r="CZ9" i="70"/>
  <c r="BT10" i="70"/>
  <c r="CM10" i="70" s="1"/>
  <c r="AE11" i="70"/>
  <c r="CQ11" i="70"/>
  <c r="DN11" i="70"/>
  <c r="BC11" i="70" s="1"/>
  <c r="CP14" i="70"/>
  <c r="CS14" i="70" s="1"/>
  <c r="BQ16" i="70"/>
  <c r="CA16" i="70" s="1"/>
  <c r="CR16" i="70"/>
  <c r="EE16" i="70"/>
  <c r="AE19" i="70"/>
  <c r="CX20" i="70"/>
  <c r="BS20" i="70"/>
  <c r="CC20" i="70" s="1"/>
  <c r="BR20" i="70"/>
  <c r="CB20" i="70" s="1"/>
  <c r="CY20" i="70"/>
  <c r="BT20" i="70"/>
  <c r="CM20" i="70" s="1"/>
  <c r="EL21" i="70"/>
  <c r="BT23" i="70"/>
  <c r="CM23" i="70" s="1"/>
  <c r="BS23" i="70"/>
  <c r="CC23" i="70" s="1"/>
  <c r="CY23" i="70"/>
  <c r="CX23" i="70"/>
  <c r="BC23" i="70" s="1"/>
  <c r="DV25" i="70"/>
  <c r="DR20" i="70"/>
  <c r="DS20" i="70"/>
  <c r="EI20" i="70"/>
  <c r="DC23" i="70"/>
  <c r="DB23" i="70"/>
  <c r="CX24" i="70"/>
  <c r="BS24" i="70"/>
  <c r="CC24" i="70" s="1"/>
  <c r="BQ24" i="70"/>
  <c r="CA24" i="70" s="1"/>
  <c r="CY24" i="70"/>
  <c r="BD24" i="70" s="1"/>
  <c r="BT24" i="70"/>
  <c r="CM24" i="70" s="1"/>
  <c r="DB28" i="70"/>
  <c r="BQ28" i="70"/>
  <c r="CA28" i="70" s="1"/>
  <c r="BT28" i="70"/>
  <c r="CM28" i="70" s="1"/>
  <c r="BR28" i="70"/>
  <c r="CB28" i="70" s="1"/>
  <c r="DC28" i="70"/>
  <c r="BQ6" i="70"/>
  <c r="CA6" i="70" s="1"/>
  <c r="EI9" i="70"/>
  <c r="BD9" i="70" s="1"/>
  <c r="DC11" i="70"/>
  <c r="BR15" i="70"/>
  <c r="CB15" i="70" s="1"/>
  <c r="CY16" i="70"/>
  <c r="BS18" i="70"/>
  <c r="CC18" i="70" s="1"/>
  <c r="DD18" i="70"/>
  <c r="BF19" i="70"/>
  <c r="BH19" i="70" s="1"/>
  <c r="AE20" i="70"/>
  <c r="ED20" i="70"/>
  <c r="DB20" i="70"/>
  <c r="DV20" i="70"/>
  <c r="BR24" i="70"/>
  <c r="CB24" i="70" s="1"/>
  <c r="CZ6" i="70"/>
  <c r="DT6" i="70"/>
  <c r="EA6" i="70"/>
  <c r="AE7" i="70"/>
  <c r="DG7" i="70"/>
  <c r="DG32" i="70" s="1"/>
  <c r="BT13" i="70"/>
  <c r="CM13" i="70" s="1"/>
  <c r="DC16" i="70"/>
  <c r="BR16" i="70"/>
  <c r="CB16" i="70" s="1"/>
  <c r="EL16" i="70"/>
  <c r="EL32" i="70" s="1"/>
  <c r="AE18" i="70"/>
  <c r="DX18" i="70"/>
  <c r="DC20" i="70"/>
  <c r="DW20" i="70"/>
  <c r="EL20" i="70"/>
  <c r="BH21" i="70"/>
  <c r="DZ24" i="70"/>
  <c r="EA24" i="70"/>
  <c r="AE26" i="70"/>
  <c r="CY7" i="70"/>
  <c r="CY32" i="70" s="1"/>
  <c r="DS7" i="70"/>
  <c r="DH9" i="70"/>
  <c r="DG11" i="70"/>
  <c r="DS11" i="70"/>
  <c r="DH18" i="70"/>
  <c r="DO19" i="70"/>
  <c r="DP19" i="70"/>
  <c r="BT21" i="70"/>
  <c r="CM21" i="70" s="1"/>
  <c r="BQ21" i="70"/>
  <c r="CA21" i="70" s="1"/>
  <c r="DP22" i="70"/>
  <c r="BE22" i="70" s="1"/>
  <c r="BT22" i="70"/>
  <c r="CM22" i="70" s="1"/>
  <c r="DO23" i="70"/>
  <c r="DN23" i="70"/>
  <c r="DG30" i="70"/>
  <c r="BD30" i="70" s="1"/>
  <c r="DF30" i="70"/>
  <c r="BC30" i="70" s="1"/>
  <c r="H58" i="70"/>
  <c r="BT8" i="70"/>
  <c r="CM8" i="70" s="1"/>
  <c r="DH11" i="70"/>
  <c r="BE11" i="70" s="1"/>
  <c r="DR13" i="70"/>
  <c r="BC13" i="70" s="1"/>
  <c r="AY13" i="70" s="1"/>
  <c r="DV16" i="70"/>
  <c r="BC16" i="70" s="1"/>
  <c r="DN17" i="70"/>
  <c r="BQ20" i="70"/>
  <c r="CA20" i="70" s="1"/>
  <c r="DF20" i="70"/>
  <c r="EA20" i="70"/>
  <c r="AE25" i="70"/>
  <c r="CX25" i="70"/>
  <c r="BC25" i="70" s="1"/>
  <c r="AY25" i="70" s="1"/>
  <c r="ED25" i="70"/>
  <c r="EE27" i="70"/>
  <c r="BD27" i="70" s="1"/>
  <c r="CO28" i="70"/>
  <c r="BC41" i="70"/>
  <c r="BC45" i="70" s="1"/>
  <c r="AW44" i="70"/>
  <c r="AY44" i="70" s="1"/>
  <c r="AW57" i="70"/>
  <c r="AY57" i="70" s="1"/>
  <c r="AX62" i="70"/>
  <c r="AX71" i="70" s="1"/>
  <c r="EF19" i="70"/>
  <c r="DJ20" i="70"/>
  <c r="CQ21" i="70"/>
  <c r="DG23" i="70"/>
  <c r="DN25" i="70"/>
  <c r="EA30" i="70"/>
  <c r="AW40" i="70"/>
  <c r="AY40" i="70" s="1"/>
  <c r="BB42" i="70"/>
  <c r="BB45" i="70" s="1"/>
  <c r="BA45" i="70" s="1"/>
  <c r="AX48" i="70"/>
  <c r="AX58" i="70" s="1"/>
  <c r="AW58" i="70" s="1"/>
  <c r="AW56" i="70"/>
  <c r="AY56" i="70" s="1"/>
  <c r="AY58" i="70" s="1"/>
  <c r="AW70" i="70"/>
  <c r="AY70" i="70" s="1"/>
  <c r="BG22" i="70"/>
  <c r="BH22" i="70" s="1"/>
  <c r="DP27" i="70"/>
  <c r="BE27" i="70" s="1"/>
  <c r="CX29" i="70"/>
  <c r="BC29" i="70" s="1"/>
  <c r="AY29" i="70" s="1"/>
  <c r="BS30" i="70"/>
  <c r="CC30" i="70" s="1"/>
  <c r="AW38" i="70"/>
  <c r="AY38" i="70" s="1"/>
  <c r="AW41" i="70"/>
  <c r="AY41" i="70" s="1"/>
  <c r="AE28" i="70"/>
  <c r="CX28" i="70"/>
  <c r="BQ29" i="70"/>
  <c r="CA29" i="70" s="1"/>
  <c r="BB57" i="70"/>
  <c r="BB58" i="70" s="1"/>
  <c r="BA58" i="70" s="1"/>
  <c r="AW65" i="70"/>
  <c r="AY65" i="70" s="1"/>
  <c r="AY71" i="70" s="1"/>
  <c r="EI23" i="70"/>
  <c r="CY28" i="70"/>
  <c r="BD28" i="70" s="1"/>
  <c r="DJ28" i="70"/>
  <c r="BD38" i="70" l="1"/>
  <c r="L38" i="70" s="1"/>
  <c r="BD40" i="70"/>
  <c r="L40" i="70" s="1"/>
  <c r="BD41" i="70"/>
  <c r="L41" i="70" s="1"/>
  <c r="BD44" i="70"/>
  <c r="L44" i="70" s="1"/>
  <c r="BD42" i="70"/>
  <c r="L42" i="70" s="1"/>
  <c r="BD43" i="70"/>
  <c r="L43" i="70" s="1"/>
  <c r="BD39" i="70"/>
  <c r="L39" i="70" s="1"/>
  <c r="AW58" i="67"/>
  <c r="AY12" i="67"/>
  <c r="BD49" i="70"/>
  <c r="L49" i="70" s="1"/>
  <c r="BD56" i="70"/>
  <c r="L56" i="70" s="1"/>
  <c r="BD51" i="70"/>
  <c r="L51" i="70" s="1"/>
  <c r="BD50" i="70"/>
  <c r="L50" i="70" s="1"/>
  <c r="BD52" i="70"/>
  <c r="L52" i="70" s="1"/>
  <c r="BD48" i="70"/>
  <c r="L48" i="70" s="1"/>
  <c r="BD57" i="70"/>
  <c r="L57" i="70" s="1"/>
  <c r="BD47" i="70"/>
  <c r="L47" i="70" s="1"/>
  <c r="BD46" i="70"/>
  <c r="L46" i="70" s="1"/>
  <c r="BD54" i="70"/>
  <c r="L54" i="70" s="1"/>
  <c r="BD55" i="70"/>
  <c r="L55" i="70" s="1"/>
  <c r="BD53" i="70"/>
  <c r="L53" i="70" s="1"/>
  <c r="AY5" i="67"/>
  <c r="AY13" i="67"/>
  <c r="AY16" i="67"/>
  <c r="BD70" i="70"/>
  <c r="L70" i="70" s="1"/>
  <c r="BD69" i="70"/>
  <c r="L69" i="70" s="1"/>
  <c r="BD61" i="70"/>
  <c r="L61" i="70" s="1"/>
  <c r="BD65" i="70"/>
  <c r="L65" i="70" s="1"/>
  <c r="BD63" i="70"/>
  <c r="L63" i="70" s="1"/>
  <c r="BD68" i="70"/>
  <c r="L68" i="70" s="1"/>
  <c r="BD67" i="70"/>
  <c r="L67" i="70" s="1"/>
  <c r="BD62" i="70"/>
  <c r="L62" i="70" s="1"/>
  <c r="BD64" i="70"/>
  <c r="L64" i="70" s="1"/>
  <c r="BD60" i="70"/>
  <c r="L60" i="70" s="1"/>
  <c r="BD66" i="70"/>
  <c r="L66" i="70" s="1"/>
  <c r="BD59" i="70"/>
  <c r="L59" i="70" s="1"/>
  <c r="AY11" i="67"/>
  <c r="BC28" i="70"/>
  <c r="AY28" i="70" s="1"/>
  <c r="BA28" i="70"/>
  <c r="BB28" i="70"/>
  <c r="BE19" i="70"/>
  <c r="BD11" i="70"/>
  <c r="BC4" i="70"/>
  <c r="CX32" i="70"/>
  <c r="AY27" i="70"/>
  <c r="BD19" i="67"/>
  <c r="CP29" i="67"/>
  <c r="CS29" i="67" s="1"/>
  <c r="CR29" i="67"/>
  <c r="CG32" i="67"/>
  <c r="CJ32" i="67"/>
  <c r="BQ32" i="70"/>
  <c r="CA4" i="70"/>
  <c r="CA32" i="70" s="1"/>
  <c r="BE28" i="67"/>
  <c r="BE6" i="67"/>
  <c r="BC8" i="67"/>
  <c r="AY8" i="67" s="1"/>
  <c r="BD21" i="67"/>
  <c r="AZ47" i="70"/>
  <c r="AZ52" i="70"/>
  <c r="AZ55" i="70"/>
  <c r="AZ51" i="70"/>
  <c r="AZ56" i="70"/>
  <c r="AZ48" i="70"/>
  <c r="AZ46" i="70"/>
  <c r="AZ49" i="70"/>
  <c r="AZ53" i="70"/>
  <c r="AZ54" i="70"/>
  <c r="AZ50" i="70"/>
  <c r="AZ57" i="70"/>
  <c r="DP32" i="70"/>
  <c r="CB7" i="67"/>
  <c r="BR32" i="67"/>
  <c r="BA7" i="70"/>
  <c r="BB7" i="70"/>
  <c r="BB20" i="70"/>
  <c r="BA20" i="70"/>
  <c r="AY11" i="70"/>
  <c r="CP7" i="70"/>
  <c r="CS7" i="70" s="1"/>
  <c r="CR7" i="70"/>
  <c r="BD19" i="70"/>
  <c r="AY19" i="70" s="1"/>
  <c r="CQ32" i="70"/>
  <c r="ED32" i="70"/>
  <c r="BH8" i="70"/>
  <c r="DH32" i="70"/>
  <c r="AW45" i="67"/>
  <c r="BD18" i="67"/>
  <c r="AY18" i="67" s="1"/>
  <c r="BA71" i="67"/>
  <c r="BA19" i="67"/>
  <c r="BB19" i="67"/>
  <c r="CP26" i="67"/>
  <c r="CS26" i="67" s="1"/>
  <c r="CR26" i="67"/>
  <c r="AR48" i="67"/>
  <c r="I48" i="67" s="1"/>
  <c r="AR55" i="67"/>
  <c r="I55" i="67" s="1"/>
  <c r="AR50" i="67"/>
  <c r="I50" i="67" s="1"/>
  <c r="AR46" i="67"/>
  <c r="I46" i="67" s="1"/>
  <c r="AR54" i="67"/>
  <c r="I54" i="67" s="1"/>
  <c r="Q54" i="67" s="1"/>
  <c r="AR52" i="67"/>
  <c r="I52" i="67" s="1"/>
  <c r="AR56" i="67"/>
  <c r="I56" i="67" s="1"/>
  <c r="AR47" i="67"/>
  <c r="I47" i="67" s="1"/>
  <c r="AR57" i="67"/>
  <c r="I57" i="67" s="1"/>
  <c r="AR49" i="67"/>
  <c r="I49" i="67" s="1"/>
  <c r="Q49" i="67" s="1"/>
  <c r="Q58" i="67" s="1"/>
  <c r="AR53" i="67"/>
  <c r="I53" i="67" s="1"/>
  <c r="AR51" i="67"/>
  <c r="I51" i="67" s="1"/>
  <c r="BR32" i="70"/>
  <c r="CB4" i="70"/>
  <c r="CB32" i="70" s="1"/>
  <c r="BA12" i="67"/>
  <c r="BB12" i="67"/>
  <c r="AY20" i="67"/>
  <c r="BA16" i="67"/>
  <c r="BB16" i="67"/>
  <c r="BA21" i="67"/>
  <c r="BB21" i="67"/>
  <c r="BD20" i="70"/>
  <c r="R49" i="70"/>
  <c r="R54" i="70"/>
  <c r="AR55" i="70"/>
  <c r="I55" i="70" s="1"/>
  <c r="AR56" i="70"/>
  <c r="I56" i="70" s="1"/>
  <c r="AR51" i="70"/>
  <c r="I51" i="70" s="1"/>
  <c r="AR50" i="70"/>
  <c r="I50" i="70" s="1"/>
  <c r="AR54" i="70"/>
  <c r="I54" i="70" s="1"/>
  <c r="Q54" i="70" s="1"/>
  <c r="AR48" i="70"/>
  <c r="I48" i="70" s="1"/>
  <c r="AR57" i="70"/>
  <c r="I57" i="70" s="1"/>
  <c r="AR47" i="70"/>
  <c r="I47" i="70" s="1"/>
  <c r="AR52" i="70"/>
  <c r="I52" i="70" s="1"/>
  <c r="AR49" i="70"/>
  <c r="I49" i="70" s="1"/>
  <c r="Q49" i="70" s="1"/>
  <c r="AR53" i="70"/>
  <c r="I53" i="70" s="1"/>
  <c r="AR46" i="70"/>
  <c r="I46" i="70" s="1"/>
  <c r="EA32" i="70"/>
  <c r="DY32" i="70" s="1"/>
  <c r="BF32" i="70"/>
  <c r="BH4" i="70"/>
  <c r="DK32" i="70"/>
  <c r="DI32" i="70" s="1"/>
  <c r="CR6" i="70"/>
  <c r="CP6" i="70"/>
  <c r="CS6" i="70" s="1"/>
  <c r="BC9" i="70"/>
  <c r="DX32" i="70"/>
  <c r="BB6" i="70"/>
  <c r="BA6" i="70"/>
  <c r="BD6" i="70"/>
  <c r="AY6" i="70" s="1"/>
  <c r="X118" i="34"/>
  <c r="S118" i="34"/>
  <c r="Z118" i="34" s="1"/>
  <c r="AY22" i="67"/>
  <c r="BA45" i="67"/>
  <c r="BC32" i="67"/>
  <c r="DO32" i="70"/>
  <c r="BD4" i="70"/>
  <c r="AY30" i="67"/>
  <c r="BD29" i="67"/>
  <c r="DE32" i="70"/>
  <c r="C39" i="67"/>
  <c r="O39" i="67" s="1"/>
  <c r="P39" i="67" s="1"/>
  <c r="BJ32" i="67"/>
  <c r="C38" i="67" s="1"/>
  <c r="O38" i="67" s="1"/>
  <c r="P38" i="67" s="1"/>
  <c r="AY45" i="70"/>
  <c r="AW45" i="70" s="1"/>
  <c r="BA25" i="70"/>
  <c r="BB25" i="70"/>
  <c r="BD7" i="70"/>
  <c r="AY30" i="70"/>
  <c r="BB26" i="70"/>
  <c r="BA26" i="70"/>
  <c r="BA18" i="70"/>
  <c r="BB18" i="70"/>
  <c r="BC24" i="70"/>
  <c r="AY24" i="70" s="1"/>
  <c r="BD23" i="70"/>
  <c r="AY23" i="70" s="1"/>
  <c r="BC20" i="70"/>
  <c r="AY20" i="70" s="1"/>
  <c r="BB11" i="70"/>
  <c r="BA11" i="70"/>
  <c r="BH29" i="70"/>
  <c r="BC17" i="70"/>
  <c r="AY17" i="70" s="1"/>
  <c r="DW32" i="70"/>
  <c r="DU32" i="70" s="1"/>
  <c r="BA15" i="70"/>
  <c r="BB15" i="70"/>
  <c r="BA18" i="67"/>
  <c r="BB18" i="67"/>
  <c r="BS32" i="67"/>
  <c r="CC4" i="67"/>
  <c r="CC32" i="67" s="1"/>
  <c r="CM4" i="67"/>
  <c r="CM32" i="67" s="1"/>
  <c r="BT32" i="67"/>
  <c r="AR41" i="67"/>
  <c r="I41" i="67" s="1"/>
  <c r="AR44" i="67"/>
  <c r="I44" i="67" s="1"/>
  <c r="AR39" i="67"/>
  <c r="I39" i="67" s="1"/>
  <c r="AR43" i="67"/>
  <c r="I43" i="67" s="1"/>
  <c r="AR38" i="67"/>
  <c r="I38" i="67" s="1"/>
  <c r="AR40" i="67"/>
  <c r="I40" i="67" s="1"/>
  <c r="AR42" i="67"/>
  <c r="I42" i="67" s="1"/>
  <c r="BS32" i="70"/>
  <c r="CC4" i="70"/>
  <c r="CC32" i="70" s="1"/>
  <c r="AY29" i="67"/>
  <c r="AY26" i="67"/>
  <c r="BE4" i="67"/>
  <c r="BE32" i="67" s="1"/>
  <c r="DT32" i="67"/>
  <c r="DQ32" i="67" s="1"/>
  <c r="BB6" i="67"/>
  <c r="AE32" i="67"/>
  <c r="BA6" i="67"/>
  <c r="CA7" i="67"/>
  <c r="BQ32" i="67"/>
  <c r="AY17" i="67"/>
  <c r="BH7" i="70"/>
  <c r="AY31" i="67"/>
  <c r="AY14" i="67"/>
  <c r="AW71" i="70"/>
  <c r="BE6" i="70"/>
  <c r="BB19" i="70"/>
  <c r="BA19" i="70"/>
  <c r="BE5" i="70"/>
  <c r="BC7" i="70"/>
  <c r="AY7" i="70" s="1"/>
  <c r="EI32" i="70"/>
  <c r="EG32" i="70" s="1"/>
  <c r="BB13" i="70"/>
  <c r="BA13" i="70"/>
  <c r="EJ32" i="70"/>
  <c r="BE18" i="70"/>
  <c r="BD5" i="70"/>
  <c r="AY5" i="70" s="1"/>
  <c r="DC32" i="70"/>
  <c r="DA32" i="70" s="1"/>
  <c r="CR18" i="67"/>
  <c r="CP18" i="67"/>
  <c r="CS18" i="67" s="1"/>
  <c r="DN32" i="70"/>
  <c r="DM32" i="70" s="1"/>
  <c r="BA8" i="67"/>
  <c r="BB8" i="67"/>
  <c r="AY21" i="67"/>
  <c r="EF32" i="70"/>
  <c r="AY19" i="67"/>
  <c r="AY25" i="67"/>
  <c r="CR28" i="70"/>
  <c r="CP28" i="70"/>
  <c r="CS28" i="70" s="1"/>
  <c r="BD16" i="70"/>
  <c r="AY16" i="70" s="1"/>
  <c r="BE9" i="70"/>
  <c r="EE32" i="70"/>
  <c r="BE10" i="70"/>
  <c r="AY10" i="70" s="1"/>
  <c r="CM4" i="70"/>
  <c r="CM32" i="70" s="1"/>
  <c r="BT32" i="70"/>
  <c r="EB32" i="70"/>
  <c r="DD32" i="70"/>
  <c r="BB5" i="70"/>
  <c r="BB32" i="70" s="1"/>
  <c r="BA5" i="70"/>
  <c r="AE32" i="70"/>
  <c r="S123" i="34"/>
  <c r="Z123" i="34" s="1"/>
  <c r="CR31" i="67"/>
  <c r="CP31" i="67"/>
  <c r="CS31" i="67" s="1"/>
  <c r="BD28" i="67"/>
  <c r="AY28" i="67" s="1"/>
  <c r="BD15" i="67"/>
  <c r="AY15" i="67" s="1"/>
  <c r="AY6" i="67"/>
  <c r="BA10" i="70"/>
  <c r="BB10" i="70"/>
  <c r="DS32" i="70"/>
  <c r="DQ32" i="70" s="1"/>
  <c r="BE4" i="70"/>
  <c r="BE32" i="70" s="1"/>
  <c r="CZ32" i="70"/>
  <c r="BC12" i="70"/>
  <c r="AY12" i="70" s="1"/>
  <c r="AY22" i="70"/>
  <c r="AY18" i="70"/>
  <c r="AW71" i="67"/>
  <c r="CR10" i="67"/>
  <c r="CR32" i="67" s="1"/>
  <c r="CP10" i="67"/>
  <c r="CS10" i="67" s="1"/>
  <c r="BA58" i="67"/>
  <c r="BD4" i="67"/>
  <c r="BD32" i="67" s="1"/>
  <c r="AZ68" i="70" l="1"/>
  <c r="AZ59" i="70"/>
  <c r="AZ67" i="70"/>
  <c r="AZ60" i="70"/>
  <c r="AZ66" i="70"/>
  <c r="AZ61" i="70"/>
  <c r="AZ65" i="70"/>
  <c r="AZ63" i="70"/>
  <c r="AZ70" i="70"/>
  <c r="AZ64" i="70"/>
  <c r="AZ62" i="70"/>
  <c r="AZ69" i="70"/>
  <c r="AZ44" i="70"/>
  <c r="AZ40" i="70"/>
  <c r="AZ43" i="70"/>
  <c r="AZ41" i="70"/>
  <c r="AZ39" i="70"/>
  <c r="AZ38" i="70"/>
  <c r="AZ42" i="70"/>
  <c r="BD32" i="70"/>
  <c r="BH32" i="70"/>
  <c r="AZ40" i="67"/>
  <c r="AZ43" i="67"/>
  <c r="AZ42" i="67"/>
  <c r="AZ39" i="67"/>
  <c r="AZ38" i="67"/>
  <c r="AZ41" i="67"/>
  <c r="AZ44" i="67"/>
  <c r="CL32" i="67"/>
  <c r="C60" i="67" s="1"/>
  <c r="O60" i="67" s="1"/>
  <c r="P60" i="67" s="1"/>
  <c r="Q60" i="67" s="1"/>
  <c r="Q71" i="67" s="1"/>
  <c r="CI32" i="67"/>
  <c r="Q38" i="67"/>
  <c r="Q45" i="67" s="1"/>
  <c r="CJ32" i="70"/>
  <c r="CG32" i="70"/>
  <c r="CW32" i="70"/>
  <c r="I72" i="67"/>
  <c r="I45" i="67"/>
  <c r="AY4" i="67"/>
  <c r="AY32" i="67" s="1"/>
  <c r="BC32" i="70"/>
  <c r="AY4" i="70"/>
  <c r="Q39" i="67"/>
  <c r="R39" i="67"/>
  <c r="I58" i="70"/>
  <c r="I72" i="70"/>
  <c r="C41" i="67"/>
  <c r="O41" i="67" s="1"/>
  <c r="P41" i="67" s="1"/>
  <c r="L71" i="70"/>
  <c r="L58" i="70"/>
  <c r="BD52" i="67"/>
  <c r="L52" i="67" s="1"/>
  <c r="BD57" i="67"/>
  <c r="L57" i="67" s="1"/>
  <c r="BD47" i="67"/>
  <c r="L47" i="67" s="1"/>
  <c r="BD54" i="67"/>
  <c r="L54" i="67" s="1"/>
  <c r="R54" i="67" s="1"/>
  <c r="BD56" i="67"/>
  <c r="L56" i="67" s="1"/>
  <c r="BD49" i="67"/>
  <c r="L49" i="67" s="1"/>
  <c r="R49" i="67" s="1"/>
  <c r="R58" i="67" s="1"/>
  <c r="BD48" i="67"/>
  <c r="L48" i="67" s="1"/>
  <c r="BD46" i="67"/>
  <c r="L46" i="67" s="1"/>
  <c r="BD50" i="67"/>
  <c r="L50" i="67" s="1"/>
  <c r="BD53" i="67"/>
  <c r="L53" i="67" s="1"/>
  <c r="BD51" i="67"/>
  <c r="L51" i="67" s="1"/>
  <c r="BD55" i="67"/>
  <c r="L55" i="67" s="1"/>
  <c r="CS32" i="67"/>
  <c r="BD38" i="67"/>
  <c r="L38" i="67" s="1"/>
  <c r="BD39" i="67"/>
  <c r="L39" i="67" s="1"/>
  <c r="BD43" i="67"/>
  <c r="L43" i="67" s="1"/>
  <c r="BD44" i="67"/>
  <c r="L44" i="67" s="1"/>
  <c r="BD41" i="67"/>
  <c r="L41" i="67" s="1"/>
  <c r="BD42" i="67"/>
  <c r="L42" i="67" s="1"/>
  <c r="BD40" i="67"/>
  <c r="L40" i="67" s="1"/>
  <c r="AY9" i="70"/>
  <c r="CK32" i="70"/>
  <c r="CH32" i="70"/>
  <c r="EC32" i="70"/>
  <c r="CS32" i="70"/>
  <c r="L45" i="70"/>
  <c r="AZ63" i="67"/>
  <c r="AZ67" i="67"/>
  <c r="AZ64" i="67"/>
  <c r="AZ68" i="67"/>
  <c r="AZ66" i="67"/>
  <c r="AZ70" i="67"/>
  <c r="AZ60" i="67"/>
  <c r="AZ62" i="67"/>
  <c r="AZ59" i="67"/>
  <c r="AZ65" i="67"/>
  <c r="AZ69" i="67"/>
  <c r="AZ61" i="67"/>
  <c r="BA32" i="70"/>
  <c r="CI32" i="70"/>
  <c r="CL32" i="70"/>
  <c r="CR32" i="70"/>
  <c r="I58" i="67"/>
  <c r="BD70" i="67"/>
  <c r="L70" i="67" s="1"/>
  <c r="BD60" i="67"/>
  <c r="L60" i="67" s="1"/>
  <c r="BD59" i="67"/>
  <c r="L59" i="67" s="1"/>
  <c r="BD61" i="67"/>
  <c r="L61" i="67" s="1"/>
  <c r="BD65" i="67"/>
  <c r="L65" i="67" s="1"/>
  <c r="BD69" i="67"/>
  <c r="L69" i="67" s="1"/>
  <c r="BD63" i="67"/>
  <c r="L63" i="67" s="1"/>
  <c r="BD62" i="67"/>
  <c r="L62" i="67" s="1"/>
  <c r="BD64" i="67"/>
  <c r="L64" i="67" s="1"/>
  <c r="BD67" i="67"/>
  <c r="L67" i="67" s="1"/>
  <c r="BD66" i="67"/>
  <c r="L66" i="67" s="1"/>
  <c r="BD68" i="67"/>
  <c r="L68" i="67" s="1"/>
  <c r="AZ53" i="67"/>
  <c r="AZ46" i="67"/>
  <c r="AZ50" i="67"/>
  <c r="AZ48" i="67"/>
  <c r="AZ57" i="67"/>
  <c r="AZ56" i="67"/>
  <c r="AZ47" i="67"/>
  <c r="AZ49" i="67"/>
  <c r="AZ55" i="67"/>
  <c r="AZ51" i="67"/>
  <c r="AZ52" i="67"/>
  <c r="AZ54" i="67"/>
  <c r="Q72" i="67" l="1"/>
  <c r="C40" i="67"/>
  <c r="O40" i="67" s="1"/>
  <c r="P40" i="67" s="1"/>
  <c r="C50" i="67"/>
  <c r="O50" i="67" s="1"/>
  <c r="P50" i="67" s="1"/>
  <c r="BI32" i="67"/>
  <c r="C61" i="70"/>
  <c r="O61" i="70" s="1"/>
  <c r="P61" i="70" s="1"/>
  <c r="C53" i="70"/>
  <c r="O53" i="70" s="1"/>
  <c r="P53" i="70" s="1"/>
  <c r="C39" i="70"/>
  <c r="O39" i="70" s="1"/>
  <c r="P39" i="70" s="1"/>
  <c r="BJ32" i="70"/>
  <c r="C38" i="70" s="1"/>
  <c r="O38" i="70" s="1"/>
  <c r="P38" i="70" s="1"/>
  <c r="L71" i="67"/>
  <c r="L58" i="67"/>
  <c r="R60" i="67"/>
  <c r="R71" i="67" s="1"/>
  <c r="R61" i="67"/>
  <c r="BK32" i="67"/>
  <c r="C55" i="67" s="1"/>
  <c r="O55" i="67" s="1"/>
  <c r="P55" i="67" s="1"/>
  <c r="L45" i="67"/>
  <c r="C52" i="67"/>
  <c r="O52" i="67" s="1"/>
  <c r="P52" i="67" s="1"/>
  <c r="C61" i="67"/>
  <c r="O61" i="67" s="1"/>
  <c r="P61" i="67" s="1"/>
  <c r="Q61" i="67" s="1"/>
  <c r="C53" i="67"/>
  <c r="O53" i="67" s="1"/>
  <c r="P53" i="67" s="1"/>
  <c r="AY32" i="70"/>
  <c r="C52" i="70"/>
  <c r="O52" i="70" s="1"/>
  <c r="P52" i="70" s="1"/>
  <c r="C60" i="70"/>
  <c r="O60" i="70" s="1"/>
  <c r="P60" i="70" s="1"/>
  <c r="C41" i="70"/>
  <c r="O41" i="70" s="1"/>
  <c r="P41" i="70" s="1"/>
  <c r="Q41" i="67"/>
  <c r="R41" i="67"/>
  <c r="R38" i="67"/>
  <c r="R45" i="67" s="1"/>
  <c r="R72" i="67" s="1"/>
  <c r="Q38" i="70" l="1"/>
  <c r="R38" i="70"/>
  <c r="R41" i="70"/>
  <c r="Q41" i="70"/>
  <c r="R55" i="67"/>
  <c r="Q55" i="67"/>
  <c r="R53" i="70"/>
  <c r="Q53" i="70"/>
  <c r="Q60" i="70"/>
  <c r="Q71" i="70" s="1"/>
  <c r="R60" i="70"/>
  <c r="Q61" i="70"/>
  <c r="R61" i="70"/>
  <c r="R39" i="70"/>
  <c r="Q39" i="70"/>
  <c r="C40" i="70"/>
  <c r="O40" i="70" s="1"/>
  <c r="P40" i="70" s="1"/>
  <c r="C50" i="70"/>
  <c r="O50" i="70" s="1"/>
  <c r="P50" i="70" s="1"/>
  <c r="BK32" i="70"/>
  <c r="C55" i="70" s="1"/>
  <c r="O55" i="70" s="1"/>
  <c r="P55" i="70" s="1"/>
  <c r="Q50" i="67"/>
  <c r="R50" i="67"/>
  <c r="Q52" i="70"/>
  <c r="R52" i="70"/>
  <c r="Q53" i="67"/>
  <c r="R53" i="67"/>
  <c r="Q40" i="67"/>
  <c r="R40" i="67"/>
  <c r="Q52" i="67"/>
  <c r="R52" i="67"/>
  <c r="BI32" i="70"/>
  <c r="Q50" i="70" l="1"/>
  <c r="R50" i="70"/>
  <c r="R58" i="70" s="1"/>
  <c r="Q40" i="70"/>
  <c r="R40" i="70"/>
  <c r="R71" i="70"/>
  <c r="R45" i="70"/>
  <c r="Q55" i="70"/>
  <c r="R55" i="70"/>
  <c r="Q45" i="70"/>
  <c r="R72" i="70" l="1"/>
  <c r="Q58" i="70"/>
  <c r="Q72" i="70" s="1"/>
</calcChain>
</file>

<file path=xl/sharedStrings.xml><?xml version="1.0" encoding="utf-8"?>
<sst xmlns="http://schemas.openxmlformats.org/spreadsheetml/2006/main" count="1242" uniqueCount="428">
  <si>
    <t>Full Name of the Farmer</t>
  </si>
  <si>
    <t>Turmeric</t>
  </si>
  <si>
    <t>PLOT 1</t>
  </si>
  <si>
    <t>HR Total</t>
  </si>
  <si>
    <t>Land preparation</t>
  </si>
  <si>
    <t>Basal manuring</t>
  </si>
  <si>
    <t>Top dressing</t>
  </si>
  <si>
    <t>Pest management</t>
  </si>
  <si>
    <t>Harvesting</t>
  </si>
  <si>
    <t>Post harvesting</t>
  </si>
  <si>
    <t>Sowing Maincrop</t>
  </si>
  <si>
    <t>Total</t>
  </si>
  <si>
    <t>Weed mangement</t>
  </si>
  <si>
    <t>Intercrops</t>
  </si>
  <si>
    <t>Material</t>
  </si>
  <si>
    <t>Labour</t>
  </si>
  <si>
    <t>Income per acre</t>
  </si>
  <si>
    <t>C:B ratio</t>
  </si>
  <si>
    <t>Cotton</t>
  </si>
  <si>
    <t>None</t>
  </si>
  <si>
    <t>Income</t>
  </si>
  <si>
    <t>Name of operation</t>
  </si>
  <si>
    <t>Process</t>
  </si>
  <si>
    <t>Weed management</t>
  </si>
  <si>
    <t>LP:Ploughing</t>
  </si>
  <si>
    <t>LP:Harrowing</t>
  </si>
  <si>
    <t>NM:Broadcasting</t>
  </si>
  <si>
    <t>SW:Seed broadcasting</t>
  </si>
  <si>
    <t>SW:Seed planting</t>
  </si>
  <si>
    <t>WM:Manual weeding</t>
  </si>
  <si>
    <t>WM:Hoeing-Intercultivation</t>
  </si>
  <si>
    <t>HV:Manual harvesting</t>
  </si>
  <si>
    <t>PH:Threshing</t>
  </si>
  <si>
    <t>Sowing</t>
  </si>
  <si>
    <t>Self Mandays</t>
  </si>
  <si>
    <t>Hired Mandays</t>
  </si>
  <si>
    <t>FYM</t>
  </si>
  <si>
    <t>Tur</t>
  </si>
  <si>
    <t>Maincrop</t>
  </si>
  <si>
    <t>Crop detail</t>
  </si>
  <si>
    <t>Crop name</t>
  </si>
  <si>
    <t>Product</t>
  </si>
  <si>
    <t>Maincrop: Yield</t>
  </si>
  <si>
    <t>Maincrop: Byproduct</t>
  </si>
  <si>
    <t>Intercrop: Yield</t>
  </si>
  <si>
    <t>Intercrop: Byproduct</t>
  </si>
  <si>
    <t>Machinery</t>
  </si>
  <si>
    <t>Check</t>
  </si>
  <si>
    <t>MECHANICAL OPERATION</t>
  </si>
  <si>
    <t>MATERIALS</t>
  </si>
  <si>
    <t>HUMAN RESOURCES</t>
  </si>
  <si>
    <t>Self Womandays</t>
  </si>
  <si>
    <t>Hired Womandays</t>
  </si>
  <si>
    <t>LP:Hoeing</t>
  </si>
  <si>
    <t>LP:Cleaning</t>
  </si>
  <si>
    <t>NM:Placement</t>
  </si>
  <si>
    <t>NM:Fertigation</t>
  </si>
  <si>
    <t>NM:Mulching</t>
  </si>
  <si>
    <t>NM:Tilling</t>
  </si>
  <si>
    <t>SW:Transplanting</t>
  </si>
  <si>
    <t>WM:Weedicide spraying</t>
  </si>
  <si>
    <t>WM:Weedicide drenching</t>
  </si>
  <si>
    <t>PM:Pesticide spraying</t>
  </si>
  <si>
    <t>PM:Pesticide drenching</t>
  </si>
  <si>
    <t>HV:Machine harvesting</t>
  </si>
  <si>
    <t>PH:Drying</t>
  </si>
  <si>
    <t>PH:Milling</t>
  </si>
  <si>
    <t>Others</t>
  </si>
  <si>
    <t>Crop focus</t>
  </si>
  <si>
    <t>Soyabean</t>
  </si>
  <si>
    <t>Maize</t>
  </si>
  <si>
    <t>Paddy</t>
  </si>
  <si>
    <t>Ambadi</t>
  </si>
  <si>
    <t>Groundnut</t>
  </si>
  <si>
    <t>Chilli</t>
  </si>
  <si>
    <t>Tomato</t>
  </si>
  <si>
    <t>Ladies finger</t>
  </si>
  <si>
    <t>Brinjal</t>
  </si>
  <si>
    <t>Bottle gourd</t>
  </si>
  <si>
    <t>Ridge gourd</t>
  </si>
  <si>
    <t>Pumpkin</t>
  </si>
  <si>
    <t>Cucumber</t>
  </si>
  <si>
    <t>Bitter gourd</t>
  </si>
  <si>
    <t>Paid out</t>
  </si>
  <si>
    <t>Check for income/expense</t>
  </si>
  <si>
    <t>Expense</t>
  </si>
  <si>
    <t>Intercrop</t>
  </si>
  <si>
    <t>Realized C:B ratio</t>
  </si>
  <si>
    <t>% labour expenditure</t>
  </si>
  <si>
    <t>Composition/Active ingredient</t>
  </si>
  <si>
    <t>This is source sheet for the dropdown. Do not change or delete this sheet, please!</t>
  </si>
  <si>
    <t>Chenna</t>
  </si>
  <si>
    <t>Jivamrut</t>
  </si>
  <si>
    <t>Irrigation</t>
  </si>
  <si>
    <t>IR: Flood</t>
  </si>
  <si>
    <t>IR: Sprinklers</t>
  </si>
  <si>
    <t>Wheat</t>
  </si>
  <si>
    <t>Sugarcane</t>
  </si>
  <si>
    <t>Hybrid</t>
  </si>
  <si>
    <t>Urea</t>
  </si>
  <si>
    <t>Traditional</t>
  </si>
  <si>
    <t>Many</t>
  </si>
  <si>
    <t>Transportation</t>
  </si>
  <si>
    <t>Zandu</t>
  </si>
  <si>
    <t>Monocrotophos</t>
  </si>
  <si>
    <t>DAP</t>
  </si>
  <si>
    <t>Potash</t>
  </si>
  <si>
    <t>Quinolphos</t>
  </si>
  <si>
    <t>Shimla</t>
  </si>
  <si>
    <t>Lettuce</t>
  </si>
  <si>
    <t>Onion</t>
  </si>
  <si>
    <t>Beetroot</t>
  </si>
  <si>
    <t>Methi</t>
  </si>
  <si>
    <t>Palak</t>
  </si>
  <si>
    <t>Pesticide</t>
  </si>
  <si>
    <t>Acephate</t>
  </si>
  <si>
    <t>Chloropyrophos</t>
  </si>
  <si>
    <t>P</t>
  </si>
  <si>
    <t>S</t>
  </si>
  <si>
    <t>Nature of input</t>
  </si>
  <si>
    <t>Organic</t>
  </si>
  <si>
    <t>Synthetic</t>
  </si>
  <si>
    <t>Transgenic</t>
  </si>
  <si>
    <t>Machine based expense</t>
  </si>
  <si>
    <t>Male labour</t>
  </si>
  <si>
    <t>Female labour</t>
  </si>
  <si>
    <t>Organic inputs</t>
  </si>
  <si>
    <t>Nutrient absrobtion per tonne values</t>
  </si>
  <si>
    <t>Reccommended nutrient application (where the absorbtion reference is unavailable)</t>
  </si>
  <si>
    <t>Nutrient reference point for FIQ</t>
  </si>
  <si>
    <t>Assumed/accepted/benchmark nutrient efficiency</t>
  </si>
  <si>
    <t>Maxima</t>
  </si>
  <si>
    <t>Nutrient absorbtion reference for crops</t>
  </si>
  <si>
    <t>Reference factor for standards</t>
  </si>
  <si>
    <t>Reference factor for recommended fertilizer level</t>
  </si>
  <si>
    <t>Average productivity and efficiency factor</t>
  </si>
  <si>
    <t>1 point</t>
  </si>
  <si>
    <t>Average yield per acre in Kg</t>
  </si>
  <si>
    <t>Tonage</t>
  </si>
  <si>
    <t>N</t>
  </si>
  <si>
    <t>K</t>
  </si>
  <si>
    <t>Ca</t>
  </si>
  <si>
    <t>Mg</t>
  </si>
  <si>
    <t>Ambadi flower</t>
  </si>
  <si>
    <t>Black gram</t>
  </si>
  <si>
    <t>Cluster beans</t>
  </si>
  <si>
    <t>Coriander seeds</t>
  </si>
  <si>
    <t>Cowpea</t>
  </si>
  <si>
    <t>Green gram</t>
  </si>
  <si>
    <t>Long yard beans</t>
  </si>
  <si>
    <t>Matki</t>
  </si>
  <si>
    <t>Mosambi</t>
  </si>
  <si>
    <t>Peas</t>
  </si>
  <si>
    <t>Potato</t>
  </si>
  <si>
    <t>Radish</t>
  </si>
  <si>
    <t>Ragi</t>
  </si>
  <si>
    <t>Rajgira</t>
  </si>
  <si>
    <t>Red Cabbage</t>
  </si>
  <si>
    <t>Samai</t>
  </si>
  <si>
    <t>Sesame</t>
  </si>
  <si>
    <t>Sorgham</t>
  </si>
  <si>
    <t>Sweet potato</t>
  </si>
  <si>
    <t>Tapioca</t>
  </si>
  <si>
    <t>From fertilizer recommendation</t>
  </si>
  <si>
    <t>Field beans</t>
  </si>
  <si>
    <t>Sunflower</t>
  </si>
  <si>
    <t>Pearl millet</t>
  </si>
  <si>
    <t>Fertilizer input</t>
  </si>
  <si>
    <t xml:space="preserve">P </t>
  </si>
  <si>
    <t>Kalappu</t>
  </si>
  <si>
    <t>Biosuper</t>
  </si>
  <si>
    <t>Devakumar et al</t>
  </si>
  <si>
    <t>Compost</t>
  </si>
  <si>
    <t>Need to confirm nutrient composition of CDM PDM Compost etc. across years and states</t>
  </si>
  <si>
    <t>TNAU</t>
  </si>
  <si>
    <t>Gomuthram</t>
  </si>
  <si>
    <t>Green leaves</t>
  </si>
  <si>
    <t>Green manuring</t>
  </si>
  <si>
    <t>Single superphosphate</t>
  </si>
  <si>
    <t>Uyir uram</t>
  </si>
  <si>
    <t>VC</t>
  </si>
  <si>
    <t>Zinc and magnesium</t>
  </si>
  <si>
    <t>Nil</t>
  </si>
  <si>
    <t>Threshold point</t>
  </si>
  <si>
    <t>EIQ per liter</t>
  </si>
  <si>
    <t>Ref point</t>
  </si>
  <si>
    <t>EIQ of Rec.</t>
  </si>
  <si>
    <t>Max. reccommended dose per acre</t>
  </si>
  <si>
    <t>http://www.uplonline.com/product/index.php?pgidee=insecti</t>
  </si>
  <si>
    <t>Carbendazim</t>
  </si>
  <si>
    <t>http://jaishreerasayan.tradeindia.com/carbendazim-50-wp-435323.html</t>
  </si>
  <si>
    <t>http://croplifescience.tradeindia.com/insecticide-chlorpyriphos-50-cypermethrin-5-ec-585851.html</t>
  </si>
  <si>
    <t>Cypermethrin</t>
  </si>
  <si>
    <t>Flubendiamide</t>
  </si>
  <si>
    <t>http://www.bayer.in/product_details.php?product_id=21</t>
  </si>
  <si>
    <t>Imidacloprid</t>
  </si>
  <si>
    <t>Diafenthiuron</t>
  </si>
  <si>
    <t>http://dx.doi.org/10.1155/2014/289747</t>
  </si>
  <si>
    <t>http://www.biostadt.com/crop-protection/krush.aspx</t>
  </si>
  <si>
    <t>Lambda Cyhalothrin</t>
  </si>
  <si>
    <t>http://www.vimaxcropscience.com/insecticide.html</t>
  </si>
  <si>
    <t>Bio</t>
  </si>
  <si>
    <t>Weedicide</t>
  </si>
  <si>
    <t>High</t>
  </si>
  <si>
    <t>Paid out mech</t>
  </si>
  <si>
    <t>Paid out material</t>
  </si>
  <si>
    <t>Paidout male labour</t>
  </si>
  <si>
    <t>Paidout female labour</t>
  </si>
  <si>
    <t>Self borne male labour</t>
  </si>
  <si>
    <t>Self borne female labour</t>
  </si>
  <si>
    <t>Self borne material</t>
  </si>
  <si>
    <t>Self borne mech</t>
  </si>
  <si>
    <t>Farm_input</t>
  </si>
  <si>
    <t>Cow dung manure</t>
  </si>
  <si>
    <t>Goat dung manure</t>
  </si>
  <si>
    <t>Cow and goat dung manure</t>
  </si>
  <si>
    <t>Poultry manure</t>
  </si>
  <si>
    <t>Main crop</t>
  </si>
  <si>
    <t>Plot 1</t>
  </si>
  <si>
    <t>Season</t>
  </si>
  <si>
    <t>Net receipt</t>
  </si>
  <si>
    <t>INPUT DETAILS</t>
  </si>
  <si>
    <t>FIELD OUTPUT/PRODUCE DETAILS</t>
  </si>
  <si>
    <t>LP: Bundling</t>
  </si>
  <si>
    <t>Market</t>
  </si>
  <si>
    <t>Naatu</t>
  </si>
  <si>
    <t>Illaikaraisal</t>
  </si>
  <si>
    <t>LP:Levelling</t>
  </si>
  <si>
    <t>Neem cake</t>
  </si>
  <si>
    <t>Pseudomonas</t>
  </si>
  <si>
    <t>Neem oil</t>
  </si>
  <si>
    <t>Palani</t>
  </si>
  <si>
    <t>Trichoderma viride</t>
  </si>
  <si>
    <t>Livestock</t>
  </si>
  <si>
    <t>Peripheral trees</t>
  </si>
  <si>
    <t>Thul uyir karaisal</t>
  </si>
  <si>
    <t>Panchagavyam</t>
  </si>
  <si>
    <t>Azospirillum</t>
  </si>
  <si>
    <t>Ginger Galic Chilli paste</t>
  </si>
  <si>
    <t>Moore karaisal</t>
  </si>
  <si>
    <t>Subsidy</t>
  </si>
  <si>
    <t>FIQ-N</t>
  </si>
  <si>
    <t>FIQ-P</t>
  </si>
  <si>
    <t>FIQ-K</t>
  </si>
  <si>
    <t>PIQ</t>
  </si>
  <si>
    <t>Normalized yield</t>
  </si>
  <si>
    <t>Sittilingi</t>
  </si>
  <si>
    <t>CDM</t>
  </si>
  <si>
    <t>CGDM</t>
  </si>
  <si>
    <t>Moorkaraisal</t>
  </si>
  <si>
    <t>Veragu</t>
  </si>
  <si>
    <t>Type</t>
  </si>
  <si>
    <t>Paidout cost</t>
  </si>
  <si>
    <t>Gross income</t>
  </si>
  <si>
    <t>Net income</t>
  </si>
  <si>
    <t>BCR</t>
  </si>
  <si>
    <t>Yield</t>
  </si>
  <si>
    <t>Paidout</t>
  </si>
  <si>
    <t>Drudgery</t>
  </si>
  <si>
    <t>Net Income</t>
  </si>
  <si>
    <t>Chemical</t>
  </si>
  <si>
    <t>Given weights</t>
  </si>
  <si>
    <t>Pooled weights within dimension</t>
  </si>
  <si>
    <t>Indicators</t>
  </si>
  <si>
    <t>Ind. Availability</t>
  </si>
  <si>
    <t>Benefit cost ratio</t>
  </si>
  <si>
    <t>Riskiness</t>
  </si>
  <si>
    <t>Nutrient use efficiency</t>
  </si>
  <si>
    <t>Employment</t>
  </si>
  <si>
    <t>Water use efficiency</t>
  </si>
  <si>
    <t>Energy use efficiency</t>
  </si>
  <si>
    <t>Chemicals use efficiency</t>
  </si>
  <si>
    <t>Farmer knowledge</t>
  </si>
  <si>
    <t>Social capital</t>
  </si>
  <si>
    <t>Farm resources</t>
  </si>
  <si>
    <t>Financial resources</t>
  </si>
  <si>
    <t>Self-reliance</t>
  </si>
  <si>
    <t>Health impacts due to fertilizer usage</t>
  </si>
  <si>
    <t>Health impacts due to pesticide usage</t>
  </si>
  <si>
    <t>Agricultural output</t>
  </si>
  <si>
    <t>Gender equity</t>
  </si>
  <si>
    <t>Institutional strength</t>
  </si>
  <si>
    <t>Soil erosion</t>
  </si>
  <si>
    <t>Soil contamination</t>
  </si>
  <si>
    <t>Water contamination</t>
  </si>
  <si>
    <t>GHG</t>
  </si>
  <si>
    <t>Bioaccumulation</t>
  </si>
  <si>
    <t>Ecological services</t>
  </si>
  <si>
    <t>Physical</t>
  </si>
  <si>
    <t>Biological</t>
  </si>
  <si>
    <t>Crop diversity</t>
  </si>
  <si>
    <t>Non-crop diversity</t>
  </si>
  <si>
    <t>Soil water available</t>
  </si>
  <si>
    <t>N input</t>
  </si>
  <si>
    <t>P input</t>
  </si>
  <si>
    <t>K input</t>
  </si>
  <si>
    <t>DUMMY</t>
  </si>
  <si>
    <t xml:space="preserve">PIQ </t>
  </si>
  <si>
    <t>PIQ per acre</t>
  </si>
  <si>
    <t>PIQ Agg.</t>
  </si>
  <si>
    <t>Overall PIQ</t>
  </si>
  <si>
    <t>N consump</t>
  </si>
  <si>
    <t>P consump</t>
  </si>
  <si>
    <t>K consump</t>
  </si>
  <si>
    <t>Observed</t>
  </si>
  <si>
    <t>Per acre</t>
  </si>
  <si>
    <t>N. Yield per acre</t>
  </si>
  <si>
    <t>Per acre basis</t>
  </si>
  <si>
    <t>Uncapped</t>
  </si>
  <si>
    <t>PI</t>
  </si>
  <si>
    <t>PI per acre</t>
  </si>
  <si>
    <t>N Balance</t>
  </si>
  <si>
    <t>P balance</t>
  </si>
  <si>
    <t>K balance</t>
  </si>
  <si>
    <t>Wt. Adjustment</t>
  </si>
  <si>
    <t>Weighting adjustment cells</t>
  </si>
  <si>
    <t>Normalization reference</t>
  </si>
  <si>
    <t>A1</t>
  </si>
  <si>
    <t>B1</t>
  </si>
  <si>
    <t>C1</t>
  </si>
  <si>
    <t>Self catogories</t>
  </si>
  <si>
    <t>Reference points</t>
  </si>
  <si>
    <t>Home labour</t>
  </si>
  <si>
    <t>Value of main product</t>
  </si>
  <si>
    <t>Value of by-product</t>
  </si>
  <si>
    <t>Operational cost</t>
  </si>
  <si>
    <t>Animal</t>
  </si>
  <si>
    <t>Machine</t>
  </si>
  <si>
    <t>Self</t>
  </si>
  <si>
    <t>Paidout (cal. from Operational cost)</t>
  </si>
  <si>
    <t>Labor cost</t>
  </si>
  <si>
    <t>Fr avg paidout</t>
  </si>
  <si>
    <t>Total cost of cultivation per acre</t>
  </si>
  <si>
    <t>Paidout (Opn. Cost)</t>
  </si>
  <si>
    <t>Labour expense %</t>
  </si>
  <si>
    <t>Farm expenditure</t>
  </si>
  <si>
    <t>Labour%</t>
  </si>
  <si>
    <t>FIQ</t>
  </si>
  <si>
    <t>Actual value</t>
  </si>
  <si>
    <t>Normalized value</t>
  </si>
  <si>
    <t>Normalized and weighed</t>
  </si>
  <si>
    <t>Norm. and Capped</t>
  </si>
  <si>
    <t>Village Name</t>
  </si>
  <si>
    <r>
      <t xml:space="preserve">Machinery (Tractor, harvestor etc.) </t>
    </r>
    <r>
      <rPr>
        <b/>
        <sz val="11"/>
        <color rgb="FFFF0000"/>
        <rFont val="Calibri"/>
        <family val="2"/>
        <scheme val="minor"/>
      </rPr>
      <t>[in hours]</t>
    </r>
  </si>
  <si>
    <r>
      <t xml:space="preserve">Own Bullock </t>
    </r>
    <r>
      <rPr>
        <b/>
        <sz val="11"/>
        <color rgb="FFFF0000"/>
        <rFont val="Calibri"/>
        <family val="2"/>
        <scheme val="minor"/>
      </rPr>
      <t>[in days]</t>
    </r>
  </si>
  <si>
    <r>
      <t xml:space="preserve">Hired bullock </t>
    </r>
    <r>
      <rPr>
        <b/>
        <sz val="11"/>
        <color rgb="FFFF0000"/>
        <rFont val="Calibri"/>
        <family val="2"/>
        <scheme val="minor"/>
      </rPr>
      <t>[in days]</t>
    </r>
  </si>
  <si>
    <r>
      <t xml:space="preserve">Tractor, Harvestor etc. price  </t>
    </r>
    <r>
      <rPr>
        <b/>
        <sz val="11"/>
        <color rgb="FFFF0000"/>
        <rFont val="Calibri"/>
        <family val="2"/>
        <scheme val="minor"/>
      </rPr>
      <t>[Rs. per hour]</t>
    </r>
  </si>
  <si>
    <r>
      <t xml:space="preserve">Bullock price </t>
    </r>
    <r>
      <rPr>
        <b/>
        <sz val="11"/>
        <color rgb="FFFF0000"/>
        <rFont val="Calibri"/>
        <family val="2"/>
        <scheme val="minor"/>
      </rPr>
      <t>[Rs. per day]</t>
    </r>
  </si>
  <si>
    <r>
      <t xml:space="preserve">Total cost for each process </t>
    </r>
    <r>
      <rPr>
        <b/>
        <sz val="11"/>
        <color rgb="FFFF0000"/>
        <rFont val="Calibri"/>
        <family val="2"/>
        <scheme val="minor"/>
      </rPr>
      <t>[Rs.for the plot]</t>
    </r>
  </si>
  <si>
    <r>
      <t xml:space="preserve">Total Paid out </t>
    </r>
    <r>
      <rPr>
        <b/>
        <sz val="11"/>
        <color rgb="FFFF0000"/>
        <rFont val="Calibri"/>
        <family val="2"/>
        <scheme val="minor"/>
      </rPr>
      <t>[Rs.for the plot]</t>
    </r>
  </si>
  <si>
    <t>Wage per Man day</t>
  </si>
  <si>
    <t>Wage per Women day</t>
  </si>
  <si>
    <t>FARM ASSESSMENT INDEX (FAI)</t>
  </si>
  <si>
    <t>Ecological Index</t>
  </si>
  <si>
    <t>Social index</t>
  </si>
  <si>
    <t>Economic Index</t>
  </si>
  <si>
    <t>Variables/Parameters</t>
  </si>
  <si>
    <t>Labour expense</t>
  </si>
  <si>
    <t>Units</t>
  </si>
  <si>
    <t>Rs. Per acre</t>
  </si>
  <si>
    <t>%</t>
  </si>
  <si>
    <t>Normalized</t>
  </si>
  <si>
    <t>No unit</t>
  </si>
  <si>
    <t>Name of the input</t>
  </si>
  <si>
    <r>
      <t xml:space="preserve">Total Self borne </t>
    </r>
    <r>
      <rPr>
        <b/>
        <sz val="11"/>
        <color rgb="FFFF0000"/>
        <rFont val="Calibri"/>
        <family val="2"/>
        <scheme val="minor"/>
      </rPr>
      <t>[Rs.for the plot]</t>
    </r>
  </si>
  <si>
    <r>
      <t xml:space="preserve">Total Quantity produced </t>
    </r>
    <r>
      <rPr>
        <b/>
        <sz val="11"/>
        <color rgb="FFFF0000"/>
        <rFont val="Calibri"/>
        <family val="2"/>
        <scheme val="minor"/>
      </rPr>
      <t>[in Kg]</t>
    </r>
  </si>
  <si>
    <r>
      <t xml:space="preserve">Self borne quantity </t>
    </r>
    <r>
      <rPr>
        <b/>
        <sz val="11"/>
        <color rgb="FFFF0000"/>
        <rFont val="Calibri"/>
        <family val="2"/>
        <scheme val="minor"/>
      </rPr>
      <t>[in Kg]</t>
    </r>
  </si>
  <si>
    <r>
      <t xml:space="preserve">Purchased quantity </t>
    </r>
    <r>
      <rPr>
        <b/>
        <sz val="11"/>
        <color rgb="FFFF0000"/>
        <rFont val="Calibri"/>
        <family val="2"/>
        <scheme val="minor"/>
      </rPr>
      <t>[in Kg]</t>
    </r>
  </si>
  <si>
    <r>
      <t xml:space="preserve">Unit price [in </t>
    </r>
    <r>
      <rPr>
        <b/>
        <sz val="11"/>
        <color rgb="FFFF0000"/>
        <rFont val="Calibri"/>
        <family val="2"/>
        <scheme val="minor"/>
      </rPr>
      <t>Rs.]</t>
    </r>
  </si>
  <si>
    <t>Total mechanical operation expense</t>
  </si>
  <si>
    <t>Name of the product/ byproduct</t>
  </si>
  <si>
    <r>
      <t xml:space="preserve">Quantity   sold </t>
    </r>
    <r>
      <rPr>
        <b/>
        <sz val="11"/>
        <color rgb="FFFF0000"/>
        <rFont val="Calibri"/>
        <family val="2"/>
        <scheme val="minor"/>
      </rPr>
      <t>[in Kg]</t>
    </r>
  </si>
  <si>
    <r>
      <t xml:space="preserve">Unit price </t>
    </r>
    <r>
      <rPr>
        <b/>
        <sz val="11"/>
        <color rgb="FFFF0000"/>
        <rFont val="Calibri"/>
        <family val="2"/>
        <scheme val="minor"/>
      </rPr>
      <t>[Rs. Per kg]</t>
    </r>
  </si>
  <si>
    <t>Expenditure per acre</t>
  </si>
  <si>
    <t>WEIGHTAGE FOR INDICATORS</t>
  </si>
  <si>
    <t>INDICATORS</t>
  </si>
  <si>
    <t>FARM ASSESSMENT INDEX</t>
  </si>
  <si>
    <t>Total Material expense</t>
  </si>
  <si>
    <t>Sum of weightage given to indicators</t>
  </si>
  <si>
    <r>
      <t xml:space="preserve">Size of the plot </t>
    </r>
    <r>
      <rPr>
        <b/>
        <sz val="11"/>
        <color rgb="FFFF0000"/>
        <rFont val="Calibri"/>
        <family val="2"/>
        <scheme val="minor"/>
      </rPr>
      <t>[in acres]</t>
    </r>
  </si>
  <si>
    <t>Each row accounts for an operation or activity of the farmer in the field.</t>
  </si>
  <si>
    <t>When the number of operation or the number of rows used approaches the highlighted area, the set of four rows  that are highlighted needs to be copied and replicated above.</t>
  </si>
  <si>
    <t xml:space="preserve">Each row captures individual operation and it can have its own mechnical operation, material input and workforce involved. </t>
  </si>
  <si>
    <t>Since the spreadsheet has several "call for" function, please avoid using "cut" function.</t>
  </si>
  <si>
    <t xml:space="preserve">While column till "AO" covers all the input related entries, columns from "AP" to "AV" has the farm output related entries. </t>
  </si>
  <si>
    <t>Further, columns from "AW" has the data analysis part. Kindly do not disturb/modify them.</t>
  </si>
  <si>
    <t>A sample sheet with a field data is provided for your reference.</t>
  </si>
  <si>
    <t>Duplicates of "Field data entry" sheet can be made for the data entry of a new plot.</t>
  </si>
  <si>
    <t>In order to make duplicate: Right click the sheet name and click "moveor copy". Then tick the option "create a copy" and click "OK"</t>
  </si>
  <si>
    <t>Adding a new plot</t>
  </si>
  <si>
    <t>Data entry</t>
  </si>
  <si>
    <t>Adding options in dropdown menus</t>
  </si>
  <si>
    <t xml:space="preserve">Please find the group in which you want to add a new entry. </t>
  </si>
  <si>
    <t xml:space="preserve">Place the pointer in the row numbers (Extreme left) just below the place where you want to add the item. </t>
  </si>
  <si>
    <t>Then make a right click and select "insert". This will insert an empty row above.</t>
  </si>
  <si>
    <t>Please make the entry of the option which needs to be added in the new row but in the same column.</t>
  </si>
  <si>
    <t>Now, you can go back to the data entry sheet and select the respective dropdown to use the option.</t>
  </si>
  <si>
    <t>Locate the dropdowns listed in groups under their respective header/group title either in "Dropdown" sheet or "References" sheet.</t>
  </si>
  <si>
    <t>Adding an option in dropdown list needs to be done in "Dropdown" sheet or "References" sheet.</t>
  </si>
  <si>
    <t>ENTRY FOR INDEX CALCULATION</t>
  </si>
  <si>
    <t>Indicators and Index caluculation</t>
  </si>
  <si>
    <t>Once the data entry is made, the values for individual indicator will be calculated and displayed in the section marked as "Indicators"</t>
  </si>
  <si>
    <t>Reference for socio-economic parameters</t>
  </si>
  <si>
    <t>While adding a crop name or fertilizer or pesticide name in dropdown, needs to be accompanied by corresponding entries for their reference values.</t>
  </si>
  <si>
    <t xml:space="preserve">The field under the header "Indicator availability" is crucial for index calculation. </t>
  </si>
  <si>
    <t>In this column, the indicators that are available needs to be given "1" and the remaining fields needs to be left empty or given "0" depending upon the availability of the indicators.</t>
  </si>
  <si>
    <t>Your weightage</t>
  </si>
  <si>
    <t>Change in weight</t>
  </si>
  <si>
    <t>Change</t>
  </si>
  <si>
    <t>Corrected</t>
  </si>
  <si>
    <t>Adjustment</t>
  </si>
  <si>
    <t>New weights</t>
  </si>
  <si>
    <t>Called function of the indicator availability</t>
  </si>
  <si>
    <t>New Pooled weights within dimension</t>
  </si>
  <si>
    <t>Normalized and modified weightage</t>
  </si>
  <si>
    <t>Calculation for given weightage</t>
  </si>
  <si>
    <t>Calculations for modified weightage</t>
  </si>
  <si>
    <t>Provide alternative relative weights</t>
  </si>
  <si>
    <t>Female ratio</t>
  </si>
  <si>
    <t>The final results are highlighted with "Yellow" color.</t>
  </si>
  <si>
    <t>Weightage for individual indicators are given under the header "Given weightage" by defaut.</t>
  </si>
  <si>
    <t xml:space="preserve">This weightage can be changed by the user in the "alternative weightage" column. </t>
  </si>
  <si>
    <t>While adjustments within the dimension can be made using this "alternative weight" column, the given weights need to be changed if the user intends to change the weightage at dimension level.</t>
  </si>
  <si>
    <t>This change provided in "Alternative weightage" is a proportional change within the dimension only.</t>
  </si>
  <si>
    <t>Remarks/Notes for each row</t>
  </si>
  <si>
    <t>Guidelines</t>
  </si>
  <si>
    <t>Use the "Field data entry" sheet to feed the data.</t>
  </si>
  <si>
    <t>Do not insert new blank row. This might miss the formula/linked cells which might eventually give wrong result.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</si>
</sst>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4" x14ac:knownFonts="1">
    <font>
      <sz val="11"/>
      <color theme="1"/>
      <name val="Calibri"/>
      <family val="2"/>
      <scheme val="minor"/>
    </font>
    <font>
      <b/>
      <sz val="11"/>
      <color theme="1"/>
      <name val="Calibri"/>
      <family val="2"/>
      <scheme val="minor"/>
    </font>
    <font>
      <sz val="10"/>
      <name val="Arial"/>
      <family val="2"/>
    </font>
    <font>
      <b/>
      <sz val="10"/>
      <name val="Verdana"/>
      <family val="2"/>
    </font>
    <font>
      <b/>
      <sz val="12"/>
      <color theme="1"/>
      <name val="Calibri"/>
      <family val="2"/>
      <scheme val="minor"/>
    </font>
    <font>
      <b/>
      <sz val="14"/>
      <color theme="1"/>
      <name val="Calibri"/>
      <family val="2"/>
      <scheme val="minor"/>
    </font>
    <font>
      <b/>
      <sz val="20"/>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b/>
      <sz val="11"/>
      <color rgb="FF9C0006"/>
      <name val="Calibri"/>
      <family val="2"/>
      <scheme val="minor"/>
    </font>
    <font>
      <b/>
      <sz val="11"/>
      <color rgb="FF9C6500"/>
      <name val="Calibri"/>
      <family val="2"/>
      <scheme val="minor"/>
    </font>
    <font>
      <b/>
      <sz val="11"/>
      <color rgb="FF006100"/>
      <name val="Calibri"/>
      <family val="2"/>
    </font>
    <font>
      <b/>
      <sz val="11"/>
      <color rgb="FF006100"/>
      <name val="Calibri"/>
      <family val="2"/>
      <scheme val="minor"/>
    </font>
    <font>
      <sz val="11"/>
      <name val="Calibri"/>
      <family val="2"/>
      <scheme val="minor"/>
    </font>
    <font>
      <sz val="11"/>
      <color indexed="63"/>
      <name val="Calibri"/>
      <family val="2"/>
      <scheme val="minor"/>
    </font>
    <font>
      <b/>
      <sz val="11"/>
      <color theme="0"/>
      <name val="Calibri"/>
      <family val="2"/>
      <scheme val="minor"/>
    </font>
    <font>
      <sz val="11"/>
      <color theme="0"/>
      <name val="Calibri"/>
      <family val="2"/>
      <scheme val="minor"/>
    </font>
    <font>
      <b/>
      <sz val="11"/>
      <color rgb="FFFF0000"/>
      <name val="Calibri"/>
      <family val="2"/>
      <scheme val="minor"/>
    </font>
    <font>
      <b/>
      <sz val="16"/>
      <name val="Calibri"/>
      <family val="2"/>
      <scheme val="minor"/>
    </font>
    <font>
      <sz val="18"/>
      <name val="Calibri"/>
      <family val="2"/>
      <scheme val="minor"/>
    </font>
    <font>
      <b/>
      <sz val="18"/>
      <name val="Calibri"/>
      <family val="2"/>
      <scheme val="minor"/>
    </font>
    <font>
      <b/>
      <sz val="11"/>
      <name val="Calibri"/>
      <family val="2"/>
      <scheme val="minor"/>
    </font>
  </fonts>
  <fills count="32">
    <fill>
      <patternFill patternType="none"/>
    </fill>
    <fill>
      <patternFill patternType="gray125"/>
    </fill>
    <fill>
      <patternFill patternType="solid">
        <fgColor theme="2" tint="-0.249977111117893"/>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3" tint="0.59999389629810485"/>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9" tint="0.59999389629810485"/>
        <bgColor indexed="64"/>
      </patternFill>
    </fill>
    <fill>
      <patternFill patternType="solid">
        <fgColor rgb="FFFFFF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theme="2" tint="-0.499984740745262"/>
        <bgColor indexed="64"/>
      </patternFill>
    </fill>
    <fill>
      <patternFill patternType="solid">
        <fgColor theme="5" tint="0.79998168889431442"/>
        <bgColor indexed="64"/>
      </patternFill>
    </fill>
    <fill>
      <patternFill patternType="solid">
        <fgColor rgb="FFFF0000"/>
        <bgColor indexed="64"/>
      </patternFill>
    </fill>
    <fill>
      <patternFill patternType="solid">
        <fgColor theme="7"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000"/>
        <bgColor indexed="64"/>
      </patternFill>
    </fill>
    <fill>
      <patternFill patternType="solid">
        <fgColor theme="6"/>
      </patternFill>
    </fill>
    <fill>
      <patternFill patternType="solid">
        <fgColor theme="6" tint="0.79998168889431442"/>
        <bgColor indexed="65"/>
      </patternFill>
    </fill>
    <fill>
      <patternFill patternType="solid">
        <fgColor theme="7"/>
      </patternFill>
    </fill>
    <fill>
      <patternFill patternType="solid">
        <fgColor theme="7" tint="0.79998168889431442"/>
        <bgColor indexed="65"/>
      </patternFill>
    </fill>
    <fill>
      <patternFill patternType="solid">
        <fgColor rgb="FFFFEFBD"/>
        <bgColor indexed="64"/>
      </patternFill>
    </fill>
    <fill>
      <patternFill patternType="solid">
        <fgColor theme="6" tint="0.79998168889431442"/>
        <bgColor indexed="64"/>
      </patternFill>
    </fill>
    <fill>
      <patternFill patternType="solid">
        <fgColor theme="7" tint="0.79998168889431442"/>
        <bgColor indexed="64"/>
      </patternFill>
    </fill>
  </fills>
  <borders count="12">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10">
    <xf numFmtId="0" fontId="0" fillId="0" borderId="0"/>
    <xf numFmtId="0" fontId="2" fillId="0" borderId="0"/>
    <xf numFmtId="9" fontId="7" fillId="0" borderId="0" applyFont="0" applyFill="0" applyBorder="0" applyAlignment="0" applyProtection="0"/>
    <xf numFmtId="0" fontId="8" fillId="21" borderId="0" applyNumberFormat="0" applyBorder="0" applyAlignment="0" applyProtection="0"/>
    <xf numFmtId="0" fontId="9" fillId="22" borderId="0" applyNumberFormat="0" applyBorder="0" applyAlignment="0" applyProtection="0"/>
    <xf numFmtId="0" fontId="10" fillId="23" borderId="0" applyNumberFormat="0" applyBorder="0" applyAlignment="0" applyProtection="0"/>
    <xf numFmtId="0" fontId="18" fillId="25" borderId="0" applyNumberFormat="0" applyBorder="0" applyAlignment="0" applyProtection="0"/>
    <xf numFmtId="0" fontId="7" fillId="26" borderId="0" applyNumberFormat="0" applyBorder="0" applyAlignment="0" applyProtection="0"/>
    <xf numFmtId="0" fontId="18" fillId="27" borderId="0" applyNumberFormat="0" applyBorder="0" applyAlignment="0" applyProtection="0"/>
    <xf numFmtId="0" fontId="7" fillId="28" borderId="0" applyNumberFormat="0" applyBorder="0" applyAlignment="0" applyProtection="0"/>
  </cellStyleXfs>
  <cellXfs count="269">
    <xf numFmtId="0" fontId="0" fillId="0" borderId="0" xfId="0"/>
    <xf numFmtId="0" fontId="0" fillId="0" borderId="0" xfId="0" applyAlignment="1">
      <alignment wrapText="1"/>
    </xf>
    <xf numFmtId="0" fontId="0" fillId="0" borderId="0" xfId="0" applyBorder="1" applyAlignment="1">
      <alignment wrapText="1"/>
    </xf>
    <xf numFmtId="0" fontId="0" fillId="2" borderId="0" xfId="0" applyFill="1" applyAlignment="1">
      <alignment wrapText="1"/>
    </xf>
    <xf numFmtId="0" fontId="0" fillId="5" borderId="0" xfId="0" applyFill="1" applyAlignment="1">
      <alignment wrapText="1"/>
    </xf>
    <xf numFmtId="0" fontId="0" fillId="4" borderId="0" xfId="0" applyFill="1" applyAlignment="1">
      <alignment wrapText="1"/>
    </xf>
    <xf numFmtId="0" fontId="0" fillId="0" borderId="0" xfId="0" applyFill="1" applyBorder="1" applyAlignment="1"/>
    <xf numFmtId="1" fontId="0" fillId="0" borderId="0" xfId="0" applyNumberFormat="1" applyAlignment="1">
      <alignment wrapText="1"/>
    </xf>
    <xf numFmtId="0" fontId="0" fillId="0" borderId="0" xfId="0" applyFill="1" applyAlignment="1">
      <alignment wrapText="1"/>
    </xf>
    <xf numFmtId="0" fontId="0" fillId="0" borderId="0" xfId="0" applyFill="1" applyBorder="1"/>
    <xf numFmtId="1" fontId="0" fillId="0" borderId="0" xfId="0" applyNumberFormat="1" applyFill="1" applyAlignment="1">
      <alignment wrapText="1"/>
    </xf>
    <xf numFmtId="0" fontId="0" fillId="6" borderId="0" xfId="0" applyFill="1" applyAlignment="1">
      <alignment wrapText="1"/>
    </xf>
    <xf numFmtId="0" fontId="0" fillId="0" borderId="0" xfId="0" applyAlignment="1"/>
    <xf numFmtId="0" fontId="0" fillId="0" borderId="0" xfId="0" applyBorder="1" applyAlignment="1"/>
    <xf numFmtId="0" fontId="0" fillId="7" borderId="0" xfId="0" applyFill="1" applyBorder="1" applyAlignment="1"/>
    <xf numFmtId="0" fontId="1" fillId="0" borderId="0" xfId="0" applyFont="1" applyAlignment="1">
      <alignment wrapText="1"/>
    </xf>
    <xf numFmtId="164" fontId="0" fillId="0" borderId="0" xfId="0" applyNumberFormat="1" applyFill="1" applyBorder="1" applyAlignment="1"/>
    <xf numFmtId="0" fontId="0" fillId="7" borderId="0" xfId="0" applyFill="1" applyAlignment="1">
      <alignment wrapText="1"/>
    </xf>
    <xf numFmtId="0" fontId="0" fillId="7" borderId="0" xfId="0" applyFill="1" applyBorder="1"/>
    <xf numFmtId="0" fontId="0" fillId="8" borderId="0" xfId="0" applyFill="1" applyAlignment="1">
      <alignment wrapText="1"/>
    </xf>
    <xf numFmtId="0" fontId="1" fillId="8" borderId="0" xfId="0" applyFont="1" applyFill="1" applyAlignment="1">
      <alignment wrapText="1"/>
    </xf>
    <xf numFmtId="0" fontId="1" fillId="5" borderId="0" xfId="0" applyFont="1" applyFill="1" applyAlignment="1">
      <alignment wrapText="1"/>
    </xf>
    <xf numFmtId="0" fontId="1" fillId="4" borderId="0" xfId="0" applyFont="1" applyFill="1" applyAlignment="1">
      <alignment wrapText="1"/>
    </xf>
    <xf numFmtId="0" fontId="1" fillId="2" borderId="0" xfId="0" applyFont="1" applyFill="1" applyAlignment="1">
      <alignment wrapText="1"/>
    </xf>
    <xf numFmtId="0" fontId="1" fillId="6" borderId="0" xfId="0" applyFont="1" applyFill="1" applyAlignment="1">
      <alignment wrapText="1"/>
    </xf>
    <xf numFmtId="0" fontId="0" fillId="7" borderId="0" xfId="0" applyFill="1" applyBorder="1" applyAlignment="1">
      <alignment wrapText="1"/>
    </xf>
    <xf numFmtId="0" fontId="0" fillId="7" borderId="0" xfId="0" applyFill="1"/>
    <xf numFmtId="164" fontId="0" fillId="7" borderId="0" xfId="0" applyNumberFormat="1" applyFill="1" applyBorder="1" applyAlignment="1"/>
    <xf numFmtId="1" fontId="0" fillId="7" borderId="0" xfId="0" applyNumberFormat="1" applyFill="1" applyAlignment="1">
      <alignment wrapText="1"/>
    </xf>
    <xf numFmtId="0" fontId="0" fillId="0" borderId="0" xfId="0" applyFill="1"/>
    <xf numFmtId="0" fontId="1" fillId="0" borderId="0" xfId="0" applyFont="1" applyFill="1" applyAlignment="1">
      <alignment wrapText="1"/>
    </xf>
    <xf numFmtId="0" fontId="1" fillId="9" borderId="0" xfId="0" applyFont="1" applyFill="1" applyBorder="1" applyAlignment="1">
      <alignment wrapText="1"/>
    </xf>
    <xf numFmtId="0" fontId="1" fillId="9" borderId="0" xfId="0" applyFont="1" applyFill="1" applyBorder="1"/>
    <xf numFmtId="0" fontId="1" fillId="9" borderId="0" xfId="0" applyFont="1" applyFill="1"/>
    <xf numFmtId="164" fontId="1" fillId="9" borderId="0" xfId="0" applyNumberFormat="1" applyFont="1" applyFill="1" applyBorder="1" applyAlignment="1"/>
    <xf numFmtId="0" fontId="1" fillId="9" borderId="0" xfId="0" applyFont="1" applyFill="1" applyBorder="1" applyAlignment="1"/>
    <xf numFmtId="0" fontId="1" fillId="9" borderId="0" xfId="0" applyFont="1" applyFill="1" applyAlignment="1">
      <alignment wrapText="1"/>
    </xf>
    <xf numFmtId="1" fontId="1" fillId="9" borderId="0" xfId="0" applyNumberFormat="1" applyFont="1" applyFill="1" applyAlignment="1">
      <alignment wrapText="1"/>
    </xf>
    <xf numFmtId="0" fontId="1" fillId="10" borderId="0" xfId="0" applyFont="1" applyFill="1" applyAlignment="1">
      <alignment wrapText="1"/>
    </xf>
    <xf numFmtId="0" fontId="1" fillId="2" borderId="0" xfId="0" applyFont="1" applyFill="1" applyAlignment="1">
      <alignment horizontal="left"/>
    </xf>
    <xf numFmtId="0" fontId="1" fillId="0" borderId="0" xfId="0" applyFont="1" applyFill="1" applyAlignment="1"/>
    <xf numFmtId="0" fontId="1" fillId="8" borderId="0" xfId="0" applyFont="1" applyFill="1" applyAlignment="1"/>
    <xf numFmtId="0" fontId="1" fillId="4" borderId="0" xfId="0" applyFont="1" applyFill="1" applyAlignment="1"/>
    <xf numFmtId="0" fontId="0" fillId="12" borderId="0" xfId="0" applyFill="1" applyAlignment="1">
      <alignment wrapText="1"/>
    </xf>
    <xf numFmtId="0" fontId="0" fillId="3" borderId="0" xfId="0" applyFill="1" applyAlignment="1">
      <alignment wrapText="1"/>
    </xf>
    <xf numFmtId="0" fontId="1" fillId="0" borderId="0" xfId="0" applyFont="1"/>
    <xf numFmtId="0" fontId="1" fillId="11" borderId="0" xfId="0" applyFont="1" applyFill="1" applyAlignment="1">
      <alignment wrapText="1"/>
    </xf>
    <xf numFmtId="0" fontId="1" fillId="15" borderId="0" xfId="0" applyFont="1" applyFill="1" applyAlignment="1">
      <alignment wrapText="1"/>
    </xf>
    <xf numFmtId="0" fontId="1" fillId="13" borderId="0" xfId="0" applyFont="1" applyFill="1" applyAlignment="1">
      <alignment wrapText="1"/>
    </xf>
    <xf numFmtId="0" fontId="1" fillId="16" borderId="0" xfId="0" applyFont="1" applyFill="1" applyAlignment="1">
      <alignment wrapText="1"/>
    </xf>
    <xf numFmtId="0" fontId="0" fillId="17" borderId="0" xfId="0" applyFill="1" applyAlignment="1">
      <alignment wrapText="1"/>
    </xf>
    <xf numFmtId="0" fontId="1" fillId="17" borderId="0" xfId="0" applyFont="1" applyFill="1" applyAlignment="1">
      <alignment wrapText="1"/>
    </xf>
    <xf numFmtId="1" fontId="0" fillId="18" borderId="0" xfId="0" applyNumberFormat="1" applyFill="1" applyAlignment="1">
      <alignment wrapText="1"/>
    </xf>
    <xf numFmtId="0" fontId="1" fillId="2" borderId="0" xfId="0" applyFont="1" applyFill="1" applyAlignment="1"/>
    <xf numFmtId="1" fontId="0" fillId="17" borderId="0" xfId="0" applyNumberFormat="1" applyFill="1" applyAlignment="1">
      <alignment wrapText="1"/>
    </xf>
    <xf numFmtId="0" fontId="0" fillId="18" borderId="0" xfId="0" applyFill="1" applyBorder="1" applyAlignment="1">
      <alignment wrapText="1"/>
    </xf>
    <xf numFmtId="0" fontId="0" fillId="18" borderId="0" xfId="0" applyFill="1" applyBorder="1"/>
    <xf numFmtId="0" fontId="0" fillId="18" borderId="0" xfId="0" applyFill="1"/>
    <xf numFmtId="164" fontId="0" fillId="18" borderId="0" xfId="0" applyNumberFormat="1" applyFill="1" applyBorder="1" applyAlignment="1"/>
    <xf numFmtId="0" fontId="0" fillId="18" borderId="0" xfId="0" applyFill="1" applyBorder="1" applyAlignment="1"/>
    <xf numFmtId="0" fontId="0" fillId="18" borderId="0" xfId="0" applyFill="1" applyAlignment="1">
      <alignment wrapText="1"/>
    </xf>
    <xf numFmtId="0" fontId="0" fillId="0" borderId="0" xfId="0" applyFill="1" applyAlignment="1"/>
    <xf numFmtId="1" fontId="0" fillId="0" borderId="0" xfId="0" applyNumberFormat="1" applyAlignment="1">
      <alignment horizontal="center" wrapText="1"/>
    </xf>
    <xf numFmtId="1" fontId="0" fillId="0" borderId="0" xfId="0" applyNumberFormat="1" applyFill="1" applyAlignment="1">
      <alignment horizontal="center" wrapText="1"/>
    </xf>
    <xf numFmtId="1" fontId="0" fillId="18" borderId="0" xfId="0" applyNumberFormat="1" applyFill="1" applyAlignment="1">
      <alignment horizontal="center" wrapText="1"/>
    </xf>
    <xf numFmtId="0" fontId="4" fillId="9" borderId="0" xfId="0" applyFont="1" applyFill="1" applyAlignment="1">
      <alignment wrapText="1"/>
    </xf>
    <xf numFmtId="1" fontId="4" fillId="9" borderId="0" xfId="0" applyNumberFormat="1" applyFont="1" applyFill="1" applyAlignment="1">
      <alignment wrapText="1"/>
    </xf>
    <xf numFmtId="0" fontId="1" fillId="6" borderId="0" xfId="0" applyFont="1" applyFill="1" applyAlignment="1"/>
    <xf numFmtId="0" fontId="0" fillId="6" borderId="0" xfId="0" applyFill="1" applyAlignment="1"/>
    <xf numFmtId="0" fontId="0" fillId="3" borderId="0" xfId="0" applyFill="1" applyAlignment="1"/>
    <xf numFmtId="0" fontId="0" fillId="12" borderId="0" xfId="0" applyFill="1" applyAlignment="1"/>
    <xf numFmtId="1" fontId="5" fillId="14" borderId="1" xfId="0" applyNumberFormat="1" applyFont="1" applyFill="1" applyBorder="1" applyAlignment="1">
      <alignment wrapText="1"/>
    </xf>
    <xf numFmtId="2" fontId="5" fillId="14" borderId="2" xfId="0" applyNumberFormat="1" applyFont="1" applyFill="1" applyBorder="1" applyAlignment="1">
      <alignment wrapText="1"/>
    </xf>
    <xf numFmtId="2" fontId="5" fillId="14" borderId="1" xfId="0" applyNumberFormat="1" applyFont="1" applyFill="1" applyBorder="1" applyAlignment="1">
      <alignment wrapText="1"/>
    </xf>
    <xf numFmtId="1" fontId="4" fillId="14" borderId="1" xfId="0" applyNumberFormat="1" applyFont="1" applyFill="1" applyBorder="1" applyAlignment="1">
      <alignment wrapText="1"/>
    </xf>
    <xf numFmtId="0" fontId="1" fillId="0" borderId="0" xfId="0" applyFont="1" applyAlignment="1"/>
    <xf numFmtId="0" fontId="6" fillId="0" borderId="0" xfId="0" applyFont="1"/>
    <xf numFmtId="21" fontId="0" fillId="0" borderId="0" xfId="0" applyNumberFormat="1" applyFill="1" applyBorder="1"/>
    <xf numFmtId="0" fontId="1" fillId="0" borderId="0" xfId="0" applyFont="1" applyFill="1"/>
    <xf numFmtId="0" fontId="0" fillId="19" borderId="0" xfId="0" applyFill="1" applyAlignment="1">
      <alignment wrapText="1"/>
    </xf>
    <xf numFmtId="2" fontId="0" fillId="0" borderId="0" xfId="0" applyNumberFormat="1"/>
    <xf numFmtId="0" fontId="0" fillId="4" borderId="0" xfId="0" applyFill="1"/>
    <xf numFmtId="0" fontId="0" fillId="13" borderId="0" xfId="0" applyFill="1"/>
    <xf numFmtId="0" fontId="1" fillId="3" borderId="0" xfId="0" applyFont="1" applyFill="1"/>
    <xf numFmtId="0" fontId="0" fillId="3" borderId="0" xfId="0" applyFill="1"/>
    <xf numFmtId="0" fontId="0" fillId="6" borderId="0" xfId="0" applyFill="1"/>
    <xf numFmtId="0" fontId="0" fillId="20" borderId="0" xfId="0" applyFill="1"/>
    <xf numFmtId="9" fontId="0" fillId="20" borderId="0" xfId="0" applyNumberFormat="1" applyFill="1"/>
    <xf numFmtId="0" fontId="1" fillId="13" borderId="0" xfId="0" applyFont="1" applyFill="1"/>
    <xf numFmtId="0" fontId="1" fillId="4" borderId="0" xfId="0" applyFont="1" applyFill="1" applyBorder="1"/>
    <xf numFmtId="0" fontId="1" fillId="6" borderId="0" xfId="0" applyFont="1" applyFill="1"/>
    <xf numFmtId="0" fontId="1" fillId="20" borderId="0" xfId="0" applyFont="1" applyFill="1"/>
    <xf numFmtId="0" fontId="0" fillId="0" borderId="0" xfId="0" applyBorder="1"/>
    <xf numFmtId="0" fontId="0" fillId="4" borderId="0" xfId="0" applyFill="1" applyBorder="1"/>
    <xf numFmtId="0" fontId="0" fillId="13" borderId="0" xfId="0" applyFill="1" applyBorder="1"/>
    <xf numFmtId="2" fontId="0" fillId="2" borderId="0" xfId="0" applyNumberFormat="1" applyFill="1"/>
    <xf numFmtId="2" fontId="0" fillId="3" borderId="0" xfId="0" applyNumberFormat="1" applyFill="1"/>
    <xf numFmtId="2" fontId="0" fillId="20" borderId="0" xfId="0" applyNumberFormat="1" applyFill="1"/>
    <xf numFmtId="0" fontId="0" fillId="2" borderId="0" xfId="0" applyFill="1"/>
    <xf numFmtId="2" fontId="0" fillId="6" borderId="0" xfId="0" applyNumberFormat="1" applyFill="1"/>
    <xf numFmtId="9" fontId="0" fillId="0" borderId="0" xfId="0" applyNumberFormat="1" applyFill="1"/>
    <xf numFmtId="2" fontId="0" fillId="0" borderId="0" xfId="0" applyNumberFormat="1" applyFill="1"/>
    <xf numFmtId="0" fontId="1" fillId="19" borderId="0" xfId="0" applyFont="1" applyFill="1" applyAlignment="1">
      <alignment wrapText="1"/>
    </xf>
    <xf numFmtId="0" fontId="1" fillId="17" borderId="0" xfId="0" applyFont="1" applyFill="1" applyAlignment="1"/>
    <xf numFmtId="0" fontId="0" fillId="15" borderId="0" xfId="0" applyFill="1" applyAlignment="1">
      <alignment wrapText="1"/>
    </xf>
    <xf numFmtId="0" fontId="0" fillId="0" borderId="0" xfId="0" applyFont="1" applyFill="1"/>
    <xf numFmtId="164" fontId="0" fillId="0" borderId="0" xfId="0" applyNumberFormat="1" applyFont="1" applyFill="1"/>
    <xf numFmtId="164" fontId="1" fillId="0" borderId="0" xfId="0" applyNumberFormat="1" applyFont="1" applyFill="1"/>
    <xf numFmtId="1" fontId="0" fillId="0" borderId="0" xfId="0" applyNumberFormat="1"/>
    <xf numFmtId="10" fontId="0" fillId="0" borderId="0" xfId="0" applyNumberFormat="1"/>
    <xf numFmtId="10" fontId="1" fillId="0" borderId="0" xfId="0" applyNumberFormat="1" applyFont="1"/>
    <xf numFmtId="0" fontId="1" fillId="0" borderId="0" xfId="0" applyFont="1" applyFill="1" applyBorder="1" applyAlignment="1">
      <alignment wrapText="1"/>
    </xf>
    <xf numFmtId="1" fontId="4" fillId="0" borderId="0" xfId="0" applyNumberFormat="1" applyFont="1" applyFill="1" applyBorder="1" applyAlignment="1">
      <alignment wrapText="1"/>
    </xf>
    <xf numFmtId="2" fontId="0" fillId="0" borderId="0" xfId="0" applyNumberFormat="1" applyFill="1" applyAlignment="1">
      <alignment wrapText="1"/>
    </xf>
    <xf numFmtId="2" fontId="4" fillId="0" borderId="0" xfId="0" applyNumberFormat="1" applyFont="1" applyFill="1" applyBorder="1" applyAlignment="1">
      <alignment wrapText="1"/>
    </xf>
    <xf numFmtId="0" fontId="0" fillId="0" borderId="0" xfId="0" applyFill="1" applyBorder="1" applyAlignment="1">
      <alignment wrapText="1"/>
    </xf>
    <xf numFmtId="0" fontId="1" fillId="5" borderId="0" xfId="0" applyFont="1" applyFill="1" applyAlignment="1"/>
    <xf numFmtId="1" fontId="15" fillId="0" borderId="0" xfId="0" applyNumberFormat="1" applyFont="1" applyBorder="1" applyAlignment="1">
      <alignment horizontal="right" vertical="top" wrapText="1"/>
    </xf>
    <xf numFmtId="1" fontId="15" fillId="0" borderId="0" xfId="0" applyNumberFormat="1" applyFont="1" applyBorder="1" applyAlignment="1">
      <alignment horizontal="right"/>
    </xf>
    <xf numFmtId="1" fontId="0" fillId="0" borderId="0" xfId="0" applyNumberFormat="1" applyFont="1" applyBorder="1" applyAlignment="1">
      <alignment horizontal="right"/>
    </xf>
    <xf numFmtId="1" fontId="16" fillId="0" borderId="0" xfId="0" applyNumberFormat="1" applyFont="1" applyBorder="1" applyAlignment="1">
      <alignment horizontal="right"/>
    </xf>
    <xf numFmtId="0" fontId="1" fillId="0" borderId="0" xfId="0" applyFont="1" applyBorder="1" applyAlignment="1">
      <alignment wrapText="1"/>
    </xf>
    <xf numFmtId="0" fontId="1" fillId="12" borderId="0" xfId="0" applyFont="1" applyFill="1" applyAlignment="1">
      <alignment wrapText="1"/>
    </xf>
    <xf numFmtId="10" fontId="7" fillId="16" borderId="0" xfId="4" applyNumberFormat="1" applyFont="1" applyFill="1" applyBorder="1"/>
    <xf numFmtId="0" fontId="1" fillId="0" borderId="0" xfId="0" applyFont="1" applyBorder="1" applyAlignment="1"/>
    <xf numFmtId="10" fontId="7" fillId="16" borderId="0" xfId="5" applyNumberFormat="1" applyFont="1" applyFill="1" applyBorder="1" applyAlignment="1">
      <alignment wrapText="1"/>
    </xf>
    <xf numFmtId="10" fontId="7" fillId="16" borderId="0" xfId="3" applyNumberFormat="1" applyFont="1" applyFill="1" applyBorder="1"/>
    <xf numFmtId="0" fontId="1" fillId="0" borderId="3" xfId="0" applyFont="1" applyBorder="1" applyAlignment="1">
      <alignment wrapText="1"/>
    </xf>
    <xf numFmtId="0" fontId="1" fillId="0" borderId="4" xfId="0" applyFont="1" applyBorder="1" applyAlignment="1">
      <alignment wrapText="1"/>
    </xf>
    <xf numFmtId="0" fontId="1" fillId="0" borderId="9" xfId="0" applyFont="1" applyBorder="1" applyAlignment="1">
      <alignment wrapText="1"/>
    </xf>
    <xf numFmtId="165" fontId="7" fillId="26" borderId="0" xfId="7" applyNumberFormat="1" applyBorder="1" applyAlignment="1">
      <alignment wrapText="1"/>
    </xf>
    <xf numFmtId="165" fontId="7" fillId="26" borderId="0" xfId="7" applyNumberFormat="1" applyBorder="1" applyAlignment="1">
      <alignment horizontal="right"/>
    </xf>
    <xf numFmtId="165" fontId="7" fillId="26" borderId="0" xfId="7" applyNumberFormat="1" applyBorder="1"/>
    <xf numFmtId="165" fontId="7" fillId="28" borderId="0" xfId="9" applyNumberFormat="1" applyBorder="1" applyAlignment="1">
      <alignment wrapText="1"/>
    </xf>
    <xf numFmtId="10" fontId="17" fillId="24" borderId="0" xfId="8" applyNumberFormat="1" applyFont="1" applyFill="1" applyBorder="1" applyAlignment="1">
      <alignment wrapText="1"/>
    </xf>
    <xf numFmtId="0" fontId="17" fillId="24" borderId="0" xfId="8" applyNumberFormat="1" applyFont="1" applyFill="1" applyBorder="1" applyAlignment="1">
      <alignment wrapText="1"/>
    </xf>
    <xf numFmtId="165" fontId="7" fillId="29" borderId="0" xfId="9" applyNumberFormat="1" applyFill="1" applyBorder="1" applyAlignment="1">
      <alignment wrapText="1"/>
    </xf>
    <xf numFmtId="10" fontId="17" fillId="27" borderId="0" xfId="8" applyNumberFormat="1" applyFont="1" applyBorder="1" applyAlignment="1">
      <alignment wrapText="1"/>
    </xf>
    <xf numFmtId="0" fontId="17" fillId="27" borderId="0" xfId="8" applyNumberFormat="1" applyFont="1" applyBorder="1" applyAlignment="1">
      <alignment wrapText="1"/>
    </xf>
    <xf numFmtId="0" fontId="1" fillId="0" borderId="3" xfId="0" applyFont="1" applyFill="1" applyBorder="1" applyAlignment="1"/>
    <xf numFmtId="0" fontId="1" fillId="0" borderId="9" xfId="0" applyFont="1" applyFill="1" applyBorder="1" applyAlignment="1">
      <alignment wrapText="1"/>
    </xf>
    <xf numFmtId="0" fontId="1" fillId="0" borderId="9" xfId="0" applyFont="1" applyFill="1" applyBorder="1" applyAlignment="1">
      <alignment horizontal="center" wrapText="1"/>
    </xf>
    <xf numFmtId="0" fontId="1" fillId="0" borderId="9" xfId="0" applyFont="1" applyBorder="1" applyAlignment="1"/>
    <xf numFmtId="0" fontId="1" fillId="0" borderId="4" xfId="0" applyFont="1" applyFill="1" applyBorder="1" applyAlignment="1">
      <alignment wrapText="1"/>
    </xf>
    <xf numFmtId="165" fontId="7" fillId="28" borderId="5" xfId="9" applyNumberFormat="1" applyBorder="1" applyAlignment="1">
      <alignment wrapText="1"/>
    </xf>
    <xf numFmtId="10" fontId="7" fillId="28" borderId="6" xfId="9" applyNumberFormat="1" applyBorder="1"/>
    <xf numFmtId="165" fontId="17" fillId="27" borderId="6" xfId="8" applyNumberFormat="1" applyFont="1" applyBorder="1"/>
    <xf numFmtId="165" fontId="7" fillId="29" borderId="5" xfId="9" applyNumberFormat="1" applyFill="1" applyBorder="1" applyAlignment="1">
      <alignment wrapText="1"/>
    </xf>
    <xf numFmtId="10" fontId="7" fillId="29" borderId="6" xfId="9" applyNumberFormat="1" applyFill="1" applyBorder="1" applyAlignment="1">
      <alignment wrapText="1"/>
    </xf>
    <xf numFmtId="165" fontId="17" fillId="24" borderId="6" xfId="8" applyNumberFormat="1" applyFont="1" applyFill="1" applyBorder="1" applyAlignment="1"/>
    <xf numFmtId="165" fontId="7" fillId="26" borderId="5" xfId="7" applyNumberFormat="1" applyBorder="1" applyAlignment="1">
      <alignment wrapText="1"/>
    </xf>
    <xf numFmtId="10" fontId="7" fillId="26" borderId="6" xfId="7" applyNumberFormat="1" applyBorder="1" applyAlignment="1">
      <alignment wrapText="1"/>
    </xf>
    <xf numFmtId="10" fontId="7" fillId="26" borderId="6" xfId="7" applyNumberFormat="1" applyBorder="1"/>
    <xf numFmtId="165" fontId="7" fillId="26" borderId="5" xfId="7" applyNumberFormat="1" applyBorder="1" applyAlignment="1">
      <alignment horizontal="right"/>
    </xf>
    <xf numFmtId="10" fontId="7" fillId="26" borderId="6" xfId="7" applyNumberFormat="1" applyBorder="1" applyAlignment="1">
      <alignment horizontal="right"/>
    </xf>
    <xf numFmtId="165" fontId="7" fillId="26" borderId="5" xfId="7" applyNumberFormat="1" applyBorder="1"/>
    <xf numFmtId="1" fontId="1" fillId="14" borderId="0" xfId="0" applyNumberFormat="1" applyFont="1" applyFill="1" applyAlignment="1"/>
    <xf numFmtId="0" fontId="1" fillId="13" borderId="0" xfId="0" applyFont="1" applyFill="1" applyBorder="1" applyAlignment="1">
      <alignment wrapText="1"/>
    </xf>
    <xf numFmtId="0" fontId="0" fillId="13" borderId="0" xfId="0" applyFill="1" applyAlignment="1">
      <alignment wrapText="1"/>
    </xf>
    <xf numFmtId="0" fontId="1" fillId="13" borderId="0" xfId="0" applyFont="1" applyFill="1" applyBorder="1" applyAlignment="1">
      <alignment horizontal="center" wrapText="1"/>
    </xf>
    <xf numFmtId="0" fontId="1" fillId="13" borderId="0" xfId="0" applyFont="1" applyFill="1" applyAlignment="1"/>
    <xf numFmtId="0" fontId="0" fillId="19" borderId="0" xfId="0" applyFill="1" applyBorder="1" applyAlignment="1"/>
    <xf numFmtId="0" fontId="0" fillId="19" borderId="0" xfId="0" applyFill="1" applyBorder="1" applyAlignment="1">
      <alignment wrapText="1"/>
    </xf>
    <xf numFmtId="0" fontId="0" fillId="19" borderId="0" xfId="0" applyFill="1" applyBorder="1"/>
    <xf numFmtId="0" fontId="0" fillId="19" borderId="0" xfId="0" applyFill="1"/>
    <xf numFmtId="164" fontId="0" fillId="19" borderId="0" xfId="0" applyNumberFormat="1" applyFill="1" applyBorder="1" applyAlignment="1"/>
    <xf numFmtId="1" fontId="0" fillId="19" borderId="0" xfId="0" applyNumberFormat="1" applyFill="1" applyAlignment="1">
      <alignment wrapText="1"/>
    </xf>
    <xf numFmtId="0" fontId="11" fillId="14" borderId="0" xfId="2" applyNumberFormat="1" applyFont="1" applyFill="1" applyBorder="1" applyAlignment="1">
      <alignment wrapText="1"/>
    </xf>
    <xf numFmtId="0" fontId="12" fillId="14" borderId="0" xfId="2" applyNumberFormat="1" applyFont="1" applyFill="1" applyBorder="1" applyAlignment="1">
      <alignment wrapText="1"/>
    </xf>
    <xf numFmtId="0" fontId="14" fillId="14" borderId="0" xfId="2" applyNumberFormat="1" applyFont="1" applyFill="1" applyBorder="1" applyAlignment="1">
      <alignment wrapText="1"/>
    </xf>
    <xf numFmtId="0" fontId="14" fillId="14" borderId="0" xfId="2" applyNumberFormat="1" applyFont="1" applyFill="1" applyBorder="1" applyAlignment="1">
      <alignment horizontal="right"/>
    </xf>
    <xf numFmtId="0" fontId="14" fillId="14" borderId="0" xfId="2" applyNumberFormat="1" applyFont="1" applyFill="1" applyBorder="1"/>
    <xf numFmtId="0" fontId="13" fillId="14" borderId="0" xfId="2" applyNumberFormat="1" applyFont="1" applyFill="1" applyBorder="1" applyAlignment="1">
      <alignment wrapText="1"/>
    </xf>
    <xf numFmtId="9" fontId="17" fillId="27" borderId="0" xfId="8" applyNumberFormat="1" applyFont="1" applyBorder="1" applyAlignment="1">
      <alignment wrapText="1"/>
    </xf>
    <xf numFmtId="9" fontId="17" fillId="24" borderId="0" xfId="8" applyNumberFormat="1" applyFont="1" applyFill="1" applyBorder="1" applyAlignment="1">
      <alignment wrapText="1"/>
    </xf>
    <xf numFmtId="165" fontId="0" fillId="0" borderId="0" xfId="0" applyNumberFormat="1" applyBorder="1" applyAlignment="1">
      <alignment wrapText="1"/>
    </xf>
    <xf numFmtId="165" fontId="0" fillId="0" borderId="0" xfId="2" applyNumberFormat="1" applyFont="1" applyBorder="1" applyAlignment="1">
      <alignment wrapText="1"/>
    </xf>
    <xf numFmtId="10" fontId="1" fillId="0" borderId="0" xfId="2" applyNumberFormat="1" applyFont="1" applyBorder="1" applyAlignment="1">
      <alignment wrapText="1"/>
    </xf>
    <xf numFmtId="9" fontId="17" fillId="27" borderId="0" xfId="2" applyFont="1" applyFill="1" applyBorder="1" applyAlignment="1">
      <alignment wrapText="1"/>
    </xf>
    <xf numFmtId="0" fontId="0" fillId="30" borderId="0" xfId="0" applyFill="1" applyBorder="1" applyAlignment="1">
      <alignment wrapText="1"/>
    </xf>
    <xf numFmtId="10" fontId="17" fillId="27" borderId="5" xfId="8" applyNumberFormat="1" applyFont="1" applyBorder="1" applyAlignment="1">
      <alignment wrapText="1"/>
    </xf>
    <xf numFmtId="10" fontId="17" fillId="24" borderId="5" xfId="8" applyNumberFormat="1" applyFont="1" applyFill="1" applyBorder="1" applyAlignment="1">
      <alignment wrapText="1"/>
    </xf>
    <xf numFmtId="10" fontId="7" fillId="28" borderId="0" xfId="9" applyNumberFormat="1" applyBorder="1"/>
    <xf numFmtId="165" fontId="17" fillId="27" borderId="0" xfId="8" applyNumberFormat="1" applyFont="1" applyBorder="1"/>
    <xf numFmtId="10" fontId="7" fillId="29" borderId="0" xfId="9" applyNumberFormat="1" applyFill="1" applyBorder="1" applyAlignment="1">
      <alignment wrapText="1"/>
    </xf>
    <xf numFmtId="165" fontId="17" fillId="24" borderId="0" xfId="8" applyNumberFormat="1" applyFont="1" applyFill="1" applyBorder="1" applyAlignment="1"/>
    <xf numFmtId="10" fontId="7" fillId="26" borderId="0" xfId="7" applyNumberFormat="1" applyBorder="1" applyAlignment="1">
      <alignment wrapText="1"/>
    </xf>
    <xf numFmtId="10" fontId="7" fillId="26" borderId="0" xfId="7" applyNumberFormat="1" applyBorder="1"/>
    <xf numFmtId="10" fontId="7" fillId="26" borderId="0" xfId="7" applyNumberFormat="1" applyBorder="1" applyAlignment="1">
      <alignment horizontal="right"/>
    </xf>
    <xf numFmtId="10" fontId="17" fillId="25" borderId="0" xfId="6" applyNumberFormat="1" applyFont="1" applyBorder="1" applyAlignment="1">
      <alignment wrapText="1"/>
    </xf>
    <xf numFmtId="165" fontId="17" fillId="25" borderId="0" xfId="6" applyNumberFormat="1" applyFont="1" applyBorder="1" applyAlignment="1"/>
    <xf numFmtId="10" fontId="17" fillId="25" borderId="5" xfId="6" applyNumberFormat="1" applyFont="1" applyBorder="1" applyAlignment="1">
      <alignment wrapText="1"/>
    </xf>
    <xf numFmtId="165" fontId="17" fillId="25" borderId="6" xfId="6" applyNumberFormat="1" applyFont="1" applyBorder="1" applyAlignment="1"/>
    <xf numFmtId="165" fontId="7" fillId="26" borderId="7" xfId="7" applyNumberFormat="1" applyBorder="1"/>
    <xf numFmtId="9" fontId="1" fillId="0" borderId="10" xfId="0" applyNumberFormat="1" applyFont="1" applyBorder="1"/>
    <xf numFmtId="9" fontId="0" fillId="0" borderId="10" xfId="0" applyNumberFormat="1" applyBorder="1"/>
    <xf numFmtId="0" fontId="0" fillId="0" borderId="10" xfId="0" applyBorder="1" applyAlignment="1">
      <alignment wrapText="1"/>
    </xf>
    <xf numFmtId="0" fontId="0" fillId="0" borderId="8" xfId="0" applyBorder="1" applyAlignment="1">
      <alignment wrapText="1"/>
    </xf>
    <xf numFmtId="0" fontId="0" fillId="0" borderId="7" xfId="0" applyBorder="1" applyAlignment="1">
      <alignment wrapText="1"/>
    </xf>
    <xf numFmtId="9" fontId="17" fillId="25" borderId="0" xfId="2" applyFont="1" applyFill="1" applyBorder="1" applyAlignment="1">
      <alignment wrapText="1"/>
    </xf>
    <xf numFmtId="2" fontId="0" fillId="30" borderId="0" xfId="0" applyNumberFormat="1" applyFill="1" applyBorder="1" applyAlignment="1">
      <alignment wrapText="1"/>
    </xf>
    <xf numFmtId="2" fontId="0" fillId="31" borderId="0" xfId="0" applyNumberFormat="1" applyFill="1" applyBorder="1" applyAlignment="1">
      <alignment wrapText="1"/>
    </xf>
    <xf numFmtId="0" fontId="0" fillId="31" borderId="0" xfId="0" applyFill="1" applyBorder="1" applyAlignment="1">
      <alignment wrapText="1"/>
    </xf>
    <xf numFmtId="0" fontId="0" fillId="13" borderId="0" xfId="0" applyFill="1" applyBorder="1" applyAlignment="1">
      <alignment wrapText="1"/>
    </xf>
    <xf numFmtId="2" fontId="4" fillId="14" borderId="0" xfId="0" applyNumberFormat="1" applyFont="1" applyFill="1" applyBorder="1" applyAlignment="1">
      <alignment wrapText="1"/>
    </xf>
    <xf numFmtId="1" fontId="4" fillId="14" borderId="0" xfId="0" applyNumberFormat="1" applyFont="1" applyFill="1" applyBorder="1" applyAlignment="1">
      <alignment wrapText="1"/>
    </xf>
    <xf numFmtId="0" fontId="4" fillId="14" borderId="0" xfId="0" applyFont="1" applyFill="1" applyBorder="1" applyAlignment="1">
      <alignment wrapText="1"/>
    </xf>
    <xf numFmtId="0" fontId="4" fillId="14" borderId="10" xfId="0" applyFont="1" applyFill="1" applyBorder="1" applyAlignment="1">
      <alignment wrapText="1"/>
    </xf>
    <xf numFmtId="0" fontId="11" fillId="6" borderId="0" xfId="2" applyNumberFormat="1" applyFont="1" applyFill="1" applyBorder="1" applyAlignment="1">
      <alignment wrapText="1"/>
    </xf>
    <xf numFmtId="0" fontId="12" fillId="6" borderId="0" xfId="2" applyNumberFormat="1" applyFont="1" applyFill="1" applyBorder="1" applyAlignment="1">
      <alignment wrapText="1"/>
    </xf>
    <xf numFmtId="0" fontId="14" fillId="6" borderId="0" xfId="2" applyNumberFormat="1" applyFont="1" applyFill="1" applyBorder="1" applyAlignment="1">
      <alignment wrapText="1"/>
    </xf>
    <xf numFmtId="0" fontId="14" fillId="6" borderId="0" xfId="2" applyNumberFormat="1" applyFont="1" applyFill="1" applyBorder="1" applyAlignment="1">
      <alignment horizontal="right"/>
    </xf>
    <xf numFmtId="0" fontId="14" fillId="6" borderId="0" xfId="2" applyNumberFormat="1" applyFont="1" applyFill="1" applyBorder="1"/>
    <xf numFmtId="0" fontId="13" fillId="6" borderId="0" xfId="2" applyNumberFormat="1" applyFont="1" applyFill="1" applyBorder="1" applyAlignment="1">
      <alignment wrapText="1"/>
    </xf>
    <xf numFmtId="0" fontId="20" fillId="14" borderId="7" xfId="0" applyFont="1" applyFill="1" applyBorder="1" applyAlignment="1"/>
    <xf numFmtId="0" fontId="21" fillId="14" borderId="10" xfId="0" applyFont="1" applyFill="1" applyBorder="1" applyAlignment="1">
      <alignment wrapText="1"/>
    </xf>
    <xf numFmtId="2" fontId="22" fillId="14" borderId="10" xfId="0" applyNumberFormat="1" applyFont="1" applyFill="1" applyBorder="1" applyAlignment="1">
      <alignment wrapText="1"/>
    </xf>
    <xf numFmtId="2" fontId="22" fillId="14" borderId="8" xfId="0" applyNumberFormat="1" applyFont="1" applyFill="1" applyBorder="1" applyAlignment="1">
      <alignment wrapText="1"/>
    </xf>
    <xf numFmtId="0" fontId="23" fillId="14" borderId="0" xfId="8" applyFont="1" applyFill="1" applyBorder="1" applyAlignment="1"/>
    <xf numFmtId="0" fontId="23" fillId="14" borderId="0" xfId="8" applyFont="1" applyFill="1" applyBorder="1" applyAlignment="1">
      <alignment wrapText="1"/>
    </xf>
    <xf numFmtId="2" fontId="23" fillId="14" borderId="0" xfId="8" applyNumberFormat="1" applyFont="1" applyFill="1" applyBorder="1" applyAlignment="1">
      <alignment wrapText="1"/>
    </xf>
    <xf numFmtId="2" fontId="23" fillId="14" borderId="6" xfId="8" applyNumberFormat="1" applyFont="1" applyFill="1" applyBorder="1" applyAlignment="1">
      <alignment wrapText="1"/>
    </xf>
    <xf numFmtId="2" fontId="23" fillId="14" borderId="0" xfId="6" applyNumberFormat="1" applyFont="1" applyFill="1" applyBorder="1" applyAlignment="1"/>
    <xf numFmtId="0" fontId="23" fillId="14" borderId="0" xfId="6" applyFont="1" applyFill="1" applyBorder="1" applyAlignment="1">
      <alignment wrapText="1"/>
    </xf>
    <xf numFmtId="2" fontId="23" fillId="14" borderId="6" xfId="6" applyNumberFormat="1" applyFont="1" applyFill="1" applyBorder="1" applyAlignment="1">
      <alignment wrapText="1"/>
    </xf>
    <xf numFmtId="0" fontId="0" fillId="29" borderId="0" xfId="0" applyFill="1" applyBorder="1" applyAlignment="1">
      <alignment wrapText="1"/>
    </xf>
    <xf numFmtId="2" fontId="0" fillId="29" borderId="0" xfId="0" applyNumberFormat="1" applyFill="1" applyBorder="1" applyAlignment="1">
      <alignment wrapText="1"/>
    </xf>
    <xf numFmtId="2" fontId="0" fillId="29" borderId="6" xfId="0" applyNumberFormat="1" applyFill="1" applyBorder="1" applyAlignment="1">
      <alignment wrapText="1"/>
    </xf>
    <xf numFmtId="2" fontId="0" fillId="29" borderId="5" xfId="0" applyNumberFormat="1" applyFill="1" applyBorder="1" applyAlignment="1">
      <alignment wrapText="1"/>
    </xf>
    <xf numFmtId="1" fontId="0" fillId="29" borderId="5" xfId="0" applyNumberFormat="1" applyFill="1" applyBorder="1" applyAlignment="1">
      <alignment wrapText="1"/>
    </xf>
    <xf numFmtId="2" fontId="0" fillId="29" borderId="0" xfId="0" applyNumberFormat="1" applyFill="1" applyBorder="1"/>
    <xf numFmtId="2" fontId="0" fillId="31" borderId="5" xfId="0" applyNumberFormat="1" applyFill="1" applyBorder="1" applyAlignment="1">
      <alignment wrapText="1"/>
    </xf>
    <xf numFmtId="2" fontId="0" fillId="31" borderId="0" xfId="0" applyNumberFormat="1" applyFill="1" applyBorder="1"/>
    <xf numFmtId="2" fontId="0" fillId="31" borderId="6" xfId="0" applyNumberFormat="1" applyFill="1" applyBorder="1" applyAlignment="1">
      <alignment wrapText="1"/>
    </xf>
    <xf numFmtId="1" fontId="0" fillId="31" borderId="5" xfId="0" applyNumberFormat="1" applyFill="1" applyBorder="1" applyAlignment="1">
      <alignment wrapText="1"/>
    </xf>
    <xf numFmtId="2" fontId="0" fillId="30" borderId="5" xfId="0" applyNumberFormat="1" applyFill="1" applyBorder="1" applyAlignment="1">
      <alignment wrapText="1"/>
    </xf>
    <xf numFmtId="2" fontId="0" fillId="30" borderId="6" xfId="0" applyNumberFormat="1" applyFill="1" applyBorder="1" applyAlignment="1">
      <alignment wrapText="1"/>
    </xf>
    <xf numFmtId="2" fontId="0" fillId="30" borderId="0" xfId="0" applyNumberFormat="1" applyFill="1" applyBorder="1"/>
    <xf numFmtId="1" fontId="0" fillId="30" borderId="5" xfId="0" applyNumberFormat="1" applyFill="1" applyBorder="1" applyAlignment="1">
      <alignment wrapText="1"/>
    </xf>
    <xf numFmtId="2" fontId="1" fillId="14" borderId="5" xfId="0" applyNumberFormat="1" applyFont="1" applyFill="1" applyBorder="1" applyAlignment="1">
      <alignment wrapText="1"/>
    </xf>
    <xf numFmtId="0" fontId="1" fillId="14" borderId="5" xfId="0" applyFont="1" applyFill="1" applyBorder="1" applyAlignment="1">
      <alignment wrapText="1"/>
    </xf>
    <xf numFmtId="9" fontId="17" fillId="25" borderId="0" xfId="6" applyNumberFormat="1" applyFont="1" applyBorder="1" applyAlignment="1">
      <alignment wrapText="1"/>
    </xf>
    <xf numFmtId="0" fontId="1" fillId="0" borderId="3" xfId="0" applyFont="1" applyBorder="1" applyAlignment="1"/>
    <xf numFmtId="0" fontId="1" fillId="0" borderId="4" xfId="0" applyFont="1" applyFill="1" applyBorder="1" applyAlignment="1">
      <alignment horizontal="center" wrapText="1"/>
    </xf>
    <xf numFmtId="10" fontId="7" fillId="16" borderId="5" xfId="4" applyNumberFormat="1" applyFont="1" applyFill="1" applyBorder="1"/>
    <xf numFmtId="10" fontId="7" fillId="16" borderId="6" xfId="4" applyNumberFormat="1" applyFont="1" applyFill="1" applyBorder="1"/>
    <xf numFmtId="0" fontId="17" fillId="27" borderId="6" xfId="8" applyNumberFormat="1" applyFont="1" applyBorder="1" applyAlignment="1">
      <alignment wrapText="1"/>
    </xf>
    <xf numFmtId="10" fontId="7" fillId="16" borderId="5" xfId="5" applyNumberFormat="1" applyFont="1" applyFill="1" applyBorder="1" applyAlignment="1">
      <alignment wrapText="1"/>
    </xf>
    <xf numFmtId="10" fontId="7" fillId="16" borderId="6" xfId="5" applyNumberFormat="1" applyFont="1" applyFill="1" applyBorder="1" applyAlignment="1">
      <alignment wrapText="1"/>
    </xf>
    <xf numFmtId="0" fontId="17" fillId="24" borderId="6" xfId="8" applyNumberFormat="1" applyFont="1" applyFill="1" applyBorder="1" applyAlignment="1">
      <alignment wrapText="1"/>
    </xf>
    <xf numFmtId="10" fontId="7" fillId="16" borderId="5" xfId="3" applyNumberFormat="1" applyFont="1" applyFill="1" applyBorder="1"/>
    <xf numFmtId="10" fontId="7" fillId="16" borderId="6" xfId="3" applyNumberFormat="1" applyFont="1" applyFill="1" applyBorder="1"/>
    <xf numFmtId="10" fontId="17" fillId="25" borderId="6" xfId="6" applyNumberFormat="1" applyFont="1" applyBorder="1" applyAlignment="1">
      <alignment wrapText="1"/>
    </xf>
    <xf numFmtId="0" fontId="0" fillId="0" borderId="10" xfId="0" applyFill="1" applyBorder="1" applyAlignment="1">
      <alignment wrapText="1"/>
    </xf>
    <xf numFmtId="0" fontId="0" fillId="0" borderId="8" xfId="0" applyFill="1" applyBorder="1" applyAlignment="1">
      <alignment wrapText="1"/>
    </xf>
    <xf numFmtId="10" fontId="0" fillId="6" borderId="0" xfId="2" applyNumberFormat="1" applyFont="1" applyFill="1" applyBorder="1" applyAlignment="1">
      <alignment wrapText="1"/>
    </xf>
    <xf numFmtId="10" fontId="17" fillId="24" borderId="0" xfId="2" applyNumberFormat="1" applyFont="1" applyFill="1" applyBorder="1" applyAlignment="1">
      <alignment wrapText="1"/>
    </xf>
    <xf numFmtId="165" fontId="0" fillId="29" borderId="5" xfId="9" applyNumberFormat="1" applyFont="1" applyFill="1" applyBorder="1" applyAlignment="1">
      <alignment wrapText="1"/>
    </xf>
    <xf numFmtId="0" fontId="1" fillId="3" borderId="0" xfId="0" applyFont="1" applyFill="1" applyAlignment="1">
      <alignment wrapText="1"/>
    </xf>
    <xf numFmtId="0" fontId="1" fillId="13" borderId="11" xfId="0" applyFont="1" applyFill="1" applyBorder="1" applyAlignment="1">
      <alignment wrapText="1"/>
    </xf>
    <xf numFmtId="0" fontId="1" fillId="20" borderId="11" xfId="0" applyFont="1" applyFill="1" applyBorder="1" applyAlignment="1">
      <alignment wrapText="1"/>
    </xf>
    <xf numFmtId="0" fontId="1" fillId="20" borderId="11" xfId="0" applyFont="1" applyFill="1" applyBorder="1"/>
    <xf numFmtId="0" fontId="1" fillId="8" borderId="11" xfId="0" applyFont="1" applyFill="1" applyBorder="1" applyAlignment="1">
      <alignment wrapText="1"/>
    </xf>
    <xf numFmtId="17" fontId="1" fillId="13" borderId="11" xfId="0" applyNumberFormat="1" applyFont="1" applyFill="1" applyBorder="1" applyAlignment="1">
      <alignment horizontal="left"/>
    </xf>
    <xf numFmtId="0" fontId="1" fillId="13" borderId="11" xfId="0" applyFont="1" applyFill="1" applyBorder="1"/>
    <xf numFmtId="0" fontId="3" fillId="8" borderId="11" xfId="0" applyFont="1" applyFill="1" applyBorder="1" applyAlignment="1">
      <alignment wrapText="1"/>
    </xf>
    <xf numFmtId="0" fontId="0" fillId="13" borderId="11" xfId="0" applyFill="1" applyBorder="1" applyAlignment="1"/>
    <xf numFmtId="0" fontId="3" fillId="13" borderId="11" xfId="0" applyFont="1" applyFill="1" applyBorder="1" applyAlignment="1"/>
    <xf numFmtId="0" fontId="1" fillId="14" borderId="9" xfId="0" applyFont="1" applyFill="1" applyBorder="1" applyAlignment="1">
      <alignment wrapText="1"/>
    </xf>
  </cellXfs>
  <cellStyles count="10">
    <cellStyle name="20% - Accent3" xfId="7" builtinId="38"/>
    <cellStyle name="20% - Accent4" xfId="9" builtinId="42"/>
    <cellStyle name="Accent3" xfId="6" builtinId="37"/>
    <cellStyle name="Accent4" xfId="8" builtinId="41"/>
    <cellStyle name="Bad" xfId="4" builtinId="27"/>
    <cellStyle name="Good" xfId="3" builtinId="26"/>
    <cellStyle name="Neutral" xfId="5" builtinId="28"/>
    <cellStyle name="Normal" xfId="0" builtinId="0"/>
    <cellStyle name="Normal 2 4" xfId="1" xr:uid="{00000000-0005-0000-0000-000008000000}"/>
    <cellStyle name="Percent" xfId="2" builtinId="5"/>
  </cellStyles>
  <dxfs count="0"/>
  <tableStyles count="0" defaultTableStyle="TableStyleMedium9" defaultPivotStyle="PivotStyleLight16"/>
  <colors>
    <mruColors>
      <color rgb="FFFFEFBD"/>
      <color rgb="FFFFEEB7"/>
      <color rgb="FFFFE9A3"/>
      <color rgb="FFFFE79B"/>
      <color rgb="FFFFDB6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6"/>
  <sheetViews>
    <sheetView tabSelected="1" workbookViewId="0">
      <selection activeCell="B14" sqref="B14"/>
    </sheetView>
  </sheetViews>
  <sheetFormatPr defaultRowHeight="15" x14ac:dyDescent="0.25"/>
  <sheetData>
    <row r="1" spans="1:2" x14ac:dyDescent="0.25">
      <c r="A1" s="45" t="s">
        <v>425</v>
      </c>
    </row>
    <row r="2" spans="1:2" x14ac:dyDescent="0.25">
      <c r="A2" s="45" t="s">
        <v>390</v>
      </c>
    </row>
    <row r="3" spans="1:2" x14ac:dyDescent="0.25">
      <c r="B3" t="s">
        <v>426</v>
      </c>
    </row>
    <row r="4" spans="1:2" x14ac:dyDescent="0.25">
      <c r="B4" t="s">
        <v>380</v>
      </c>
    </row>
    <row r="5" spans="1:2" x14ac:dyDescent="0.25">
      <c r="B5" t="s">
        <v>382</v>
      </c>
    </row>
    <row r="6" spans="1:2" x14ac:dyDescent="0.25">
      <c r="B6" t="s">
        <v>427</v>
      </c>
    </row>
    <row r="7" spans="1:2" x14ac:dyDescent="0.25">
      <c r="B7" t="s">
        <v>381</v>
      </c>
    </row>
    <row r="8" spans="1:2" x14ac:dyDescent="0.25">
      <c r="B8" t="s">
        <v>383</v>
      </c>
    </row>
    <row r="9" spans="1:2" x14ac:dyDescent="0.25">
      <c r="B9" t="s">
        <v>384</v>
      </c>
    </row>
    <row r="10" spans="1:2" x14ac:dyDescent="0.25">
      <c r="B10" t="s">
        <v>385</v>
      </c>
    </row>
    <row r="11" spans="1:2" x14ac:dyDescent="0.25">
      <c r="B11" t="s">
        <v>386</v>
      </c>
    </row>
    <row r="13" spans="1:2" x14ac:dyDescent="0.25">
      <c r="A13" s="45" t="s">
        <v>389</v>
      </c>
    </row>
    <row r="14" spans="1:2" x14ac:dyDescent="0.25">
      <c r="B14" t="s">
        <v>387</v>
      </c>
    </row>
    <row r="15" spans="1:2" x14ac:dyDescent="0.25">
      <c r="B15" t="s">
        <v>388</v>
      </c>
    </row>
    <row r="17" spans="1:2" x14ac:dyDescent="0.25">
      <c r="A17" s="45" t="s">
        <v>391</v>
      </c>
    </row>
    <row r="19" spans="1:2" x14ac:dyDescent="0.25">
      <c r="B19" t="s">
        <v>398</v>
      </c>
    </row>
    <row r="20" spans="1:2" x14ac:dyDescent="0.25">
      <c r="B20" t="s">
        <v>397</v>
      </c>
    </row>
    <row r="21" spans="1:2" x14ac:dyDescent="0.25">
      <c r="B21" t="s">
        <v>392</v>
      </c>
    </row>
    <row r="22" spans="1:2" x14ac:dyDescent="0.25">
      <c r="B22" t="s">
        <v>393</v>
      </c>
    </row>
    <row r="23" spans="1:2" x14ac:dyDescent="0.25">
      <c r="B23" t="s">
        <v>394</v>
      </c>
    </row>
    <row r="24" spans="1:2" x14ac:dyDescent="0.25">
      <c r="B24" t="s">
        <v>395</v>
      </c>
    </row>
    <row r="25" spans="1:2" x14ac:dyDescent="0.25">
      <c r="B25" t="s">
        <v>396</v>
      </c>
    </row>
    <row r="26" spans="1:2" x14ac:dyDescent="0.25">
      <c r="B26" t="s">
        <v>403</v>
      </c>
    </row>
    <row r="28" spans="1:2" x14ac:dyDescent="0.25">
      <c r="A28" s="45" t="s">
        <v>400</v>
      </c>
    </row>
    <row r="29" spans="1:2" x14ac:dyDescent="0.25">
      <c r="A29" s="45"/>
      <c r="B29" t="s">
        <v>419</v>
      </c>
    </row>
    <row r="30" spans="1:2" x14ac:dyDescent="0.25">
      <c r="B30" t="s">
        <v>401</v>
      </c>
    </row>
    <row r="31" spans="1:2" x14ac:dyDescent="0.25">
      <c r="B31" t="s">
        <v>404</v>
      </c>
    </row>
    <row r="32" spans="1:2" x14ac:dyDescent="0.25">
      <c r="B32" t="s">
        <v>405</v>
      </c>
    </row>
    <row r="33" spans="2:2" x14ac:dyDescent="0.25">
      <c r="B33" t="s">
        <v>420</v>
      </c>
    </row>
    <row r="34" spans="2:2" x14ac:dyDescent="0.25">
      <c r="B34" t="s">
        <v>421</v>
      </c>
    </row>
    <row r="35" spans="2:2" x14ac:dyDescent="0.25">
      <c r="B35" t="s">
        <v>423</v>
      </c>
    </row>
    <row r="36" spans="2:2" x14ac:dyDescent="0.25">
      <c r="B36" t="s">
        <v>422</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Q75"/>
  <sheetViews>
    <sheetView topLeftCell="A33" zoomScale="70" zoomScaleNormal="70" workbookViewId="0">
      <selection activeCell="J38" sqref="J38"/>
    </sheetView>
  </sheetViews>
  <sheetFormatPr defaultColWidth="18.85546875" defaultRowHeight="15" x14ac:dyDescent="0.25"/>
  <cols>
    <col min="1" max="1" width="11.140625" style="12" customWidth="1"/>
    <col min="2" max="2" width="26.85546875" style="1" customWidth="1"/>
    <col min="3" max="3" width="14" style="1" customWidth="1"/>
    <col min="4" max="4" width="16.7109375" style="1" customWidth="1"/>
    <col min="5" max="5" width="12.140625" style="1" customWidth="1"/>
    <col min="6" max="6" width="21.140625" style="1" customWidth="1"/>
    <col min="7" max="7" width="11.28515625" style="1" customWidth="1"/>
    <col min="8" max="8" width="14" style="1" customWidth="1"/>
    <col min="9" max="9" width="12.7109375" style="1" customWidth="1"/>
    <col min="10" max="10" width="14.85546875" style="1" customWidth="1"/>
    <col min="11" max="11" width="14.140625" style="1" customWidth="1"/>
    <col min="12" max="12" width="13" style="1" customWidth="1"/>
    <col min="13" max="13" width="11.42578125" style="1" customWidth="1"/>
    <col min="14" max="14" width="12.28515625" style="1" customWidth="1"/>
    <col min="15" max="15" width="14.140625" style="1" customWidth="1"/>
    <col min="16" max="18" width="13.7109375" style="1" customWidth="1"/>
    <col min="19" max="19" width="10.28515625" style="1" customWidth="1"/>
    <col min="20" max="20" width="7.28515625" style="1" customWidth="1"/>
    <col min="21" max="21" width="11.42578125" style="1" customWidth="1"/>
    <col min="22" max="22" width="7.7109375" style="1" customWidth="1"/>
    <col min="23" max="23" width="9" style="1" customWidth="1"/>
    <col min="24" max="24" width="8.140625" style="1" customWidth="1"/>
    <col min="25" max="25" width="9.85546875" style="1" customWidth="1"/>
    <col min="26" max="26" width="11.140625" style="1" customWidth="1"/>
    <col min="27" max="27" width="9.42578125" style="1" customWidth="1"/>
    <col min="28" max="30" width="9.5703125" style="1" customWidth="1"/>
    <col min="31" max="31" width="11" style="1" customWidth="1"/>
    <col min="32" max="40" width="9.28515625" style="1" customWidth="1"/>
    <col min="41" max="41" width="9.7109375" style="8" customWidth="1"/>
    <col min="42" max="42" width="13" style="1" customWidth="1"/>
    <col min="43" max="43" width="16.42578125" style="1" customWidth="1"/>
    <col min="44" max="44" width="12" style="1" customWidth="1"/>
    <col min="45" max="45" width="11.28515625" style="1" customWidth="1"/>
    <col min="46" max="46" width="9.85546875" style="1" customWidth="1"/>
    <col min="47" max="47" width="12.140625" style="8" customWidth="1"/>
    <col min="48" max="54" width="9.28515625" style="8" customWidth="1"/>
    <col min="55" max="55" width="9.42578125" style="8" customWidth="1"/>
    <col min="56" max="56" width="10.28515625" style="1" customWidth="1"/>
    <col min="57" max="57" width="10.42578125" style="1" bestFit="1" customWidth="1"/>
    <col min="58" max="58" width="10.7109375" style="8" customWidth="1"/>
    <col min="59" max="61" width="12.28515625" style="8" customWidth="1"/>
    <col min="62" max="62" width="10.7109375" style="8" customWidth="1"/>
    <col min="63" max="63" width="8.7109375" style="8" customWidth="1"/>
    <col min="64" max="71" width="10.42578125" style="8" customWidth="1"/>
    <col min="72" max="72" width="11.85546875" style="8" customWidth="1"/>
    <col min="73" max="100" width="10.42578125" style="8" customWidth="1"/>
    <col min="101" max="101" width="8.42578125" style="1" bestFit="1" customWidth="1"/>
    <col min="102" max="102" width="7.28515625" style="1" bestFit="1" customWidth="1"/>
    <col min="103" max="103" width="7.28515625" style="1" customWidth="1"/>
    <col min="104" max="104" width="10.42578125" style="1" bestFit="1" customWidth="1"/>
    <col min="105" max="105" width="8.42578125" style="1" bestFit="1" customWidth="1"/>
    <col min="106" max="106" width="7.28515625" style="1" bestFit="1" customWidth="1"/>
    <col min="107" max="107" width="6.7109375" style="1" customWidth="1"/>
    <col min="108" max="108" width="10.42578125" style="1" bestFit="1" customWidth="1"/>
    <col min="109" max="109" width="8.42578125" style="1" bestFit="1" customWidth="1"/>
    <col min="110" max="110" width="7.28515625" style="1" bestFit="1" customWidth="1"/>
    <col min="111" max="111" width="6.85546875" style="1" customWidth="1"/>
    <col min="112" max="112" width="10.42578125" style="1" bestFit="1" customWidth="1"/>
    <col min="113" max="113" width="8.42578125" style="1" bestFit="1" customWidth="1"/>
    <col min="114" max="114" width="7.28515625" style="1" bestFit="1" customWidth="1"/>
    <col min="115" max="115" width="6.85546875" style="1" customWidth="1"/>
    <col min="116" max="116" width="10.42578125" style="1" bestFit="1" customWidth="1"/>
    <col min="117" max="117" width="8.42578125" style="1" bestFit="1" customWidth="1"/>
    <col min="118" max="118" width="7.28515625" style="1" bestFit="1" customWidth="1"/>
    <col min="119" max="119" width="7.140625" style="1" customWidth="1"/>
    <col min="120" max="120" width="10.42578125" style="1" bestFit="1" customWidth="1"/>
    <col min="121" max="121" width="8.42578125" style="1" bestFit="1" customWidth="1"/>
    <col min="122" max="122" width="7.28515625" style="1" bestFit="1" customWidth="1"/>
    <col min="123" max="123" width="7.7109375" style="1" customWidth="1"/>
    <col min="124" max="124" width="10.42578125" style="1" bestFit="1" customWidth="1"/>
    <col min="125" max="125" width="8.42578125" style="1" bestFit="1" customWidth="1"/>
    <col min="126" max="126" width="7.28515625" style="1" bestFit="1" customWidth="1"/>
    <col min="127" max="127" width="6.85546875" style="1" customWidth="1"/>
    <col min="128" max="128" width="10.42578125" style="1" bestFit="1" customWidth="1"/>
    <col min="129" max="129" width="8.42578125" style="1" bestFit="1" customWidth="1"/>
    <col min="130" max="130" width="7.28515625" style="1" bestFit="1" customWidth="1"/>
    <col min="131" max="131" width="7.28515625" style="1" customWidth="1"/>
    <col min="132" max="132" width="10.42578125" style="1" bestFit="1" customWidth="1"/>
    <col min="133" max="133" width="8.42578125" style="1" bestFit="1" customWidth="1"/>
    <col min="134" max="134" width="7.28515625" style="1" bestFit="1" customWidth="1"/>
    <col min="135" max="135" width="7.28515625" style="1" customWidth="1"/>
    <col min="136" max="136" width="10.42578125" style="1" bestFit="1" customWidth="1"/>
    <col min="137" max="137" width="8.42578125" style="1" bestFit="1" customWidth="1"/>
    <col min="138" max="138" width="7.28515625" style="1" bestFit="1" customWidth="1"/>
    <col min="139" max="139" width="7.28515625" style="1" customWidth="1"/>
    <col min="140" max="140" width="8.42578125" style="1" bestFit="1" customWidth="1"/>
    <col min="141" max="141" width="7.28515625" style="1" customWidth="1"/>
    <col min="142" max="145" width="12.28515625" style="8" customWidth="1"/>
    <col min="146" max="16384" width="18.85546875" style="1"/>
  </cols>
  <sheetData>
    <row r="1" spans="1:147" x14ac:dyDescent="0.25">
      <c r="A1" s="103" t="s">
        <v>2</v>
      </c>
      <c r="B1" s="50"/>
      <c r="C1" s="103" t="s">
        <v>221</v>
      </c>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75" t="s">
        <v>222</v>
      </c>
      <c r="AV1" s="1"/>
      <c r="AW1" s="79"/>
      <c r="BD1" s="8"/>
      <c r="BE1" s="8"/>
      <c r="BN1" s="51" t="s">
        <v>304</v>
      </c>
      <c r="BO1" s="50"/>
      <c r="BP1" s="50"/>
      <c r="BQ1" s="50"/>
      <c r="BR1" s="50"/>
      <c r="BS1" s="50"/>
      <c r="BT1" s="50"/>
      <c r="BU1" s="51"/>
      <c r="BV1" s="50"/>
      <c r="BW1" s="50"/>
      <c r="BX1" s="50"/>
      <c r="BY1" s="50"/>
      <c r="BZ1" s="50"/>
      <c r="CA1" s="116" t="s">
        <v>307</v>
      </c>
      <c r="CB1" s="4"/>
      <c r="CC1" s="4"/>
      <c r="CD1" s="4"/>
      <c r="CE1" s="4"/>
      <c r="CF1" s="4"/>
      <c r="CG1" s="4"/>
      <c r="CH1" s="4"/>
      <c r="CI1" s="4"/>
      <c r="CM1" s="4"/>
      <c r="EL1" s="1"/>
      <c r="EM1" s="1"/>
      <c r="EN1" s="70" t="s">
        <v>84</v>
      </c>
      <c r="EO1" s="70"/>
      <c r="EP1" s="43"/>
      <c r="EQ1" s="43"/>
    </row>
    <row r="2" spans="1:147" x14ac:dyDescent="0.25">
      <c r="A2" s="69"/>
      <c r="B2" s="44"/>
      <c r="C2" s="44"/>
      <c r="D2" s="44"/>
      <c r="E2" s="44"/>
      <c r="F2" s="44"/>
      <c r="G2" s="44"/>
      <c r="H2" s="41" t="s">
        <v>48</v>
      </c>
      <c r="I2" s="19"/>
      <c r="J2" s="19"/>
      <c r="K2" s="19"/>
      <c r="L2" s="19"/>
      <c r="M2" s="19"/>
      <c r="N2" s="19"/>
      <c r="O2" s="21" t="s">
        <v>49</v>
      </c>
      <c r="P2" s="21"/>
      <c r="Q2" s="21"/>
      <c r="R2" s="4"/>
      <c r="S2" s="4"/>
      <c r="T2" s="4"/>
      <c r="U2" s="4"/>
      <c r="V2" s="42" t="s">
        <v>50</v>
      </c>
      <c r="W2" s="5"/>
      <c r="X2" s="5"/>
      <c r="Y2" s="5"/>
      <c r="Z2" s="5"/>
      <c r="AA2" s="5"/>
      <c r="AB2" s="5"/>
      <c r="AC2" s="5"/>
      <c r="AD2" s="5"/>
      <c r="AE2" s="43"/>
      <c r="AF2" s="3"/>
      <c r="AG2" s="3"/>
      <c r="AH2" s="3"/>
      <c r="AI2" s="3"/>
      <c r="AJ2" s="3"/>
      <c r="AK2" s="3"/>
      <c r="AL2" s="3"/>
      <c r="AM2" s="3"/>
      <c r="AN2" s="3"/>
      <c r="AO2" s="50"/>
      <c r="AP2" s="15" t="s">
        <v>218</v>
      </c>
      <c r="AQ2" s="15"/>
      <c r="AV2" s="1"/>
      <c r="AW2" s="79"/>
      <c r="AY2" s="67" t="s">
        <v>373</v>
      </c>
      <c r="AZ2" s="11"/>
      <c r="BA2" s="68"/>
      <c r="BB2" s="68"/>
      <c r="BC2" s="67"/>
      <c r="BD2" s="24"/>
      <c r="BE2" s="24"/>
      <c r="BF2" s="69" t="s">
        <v>16</v>
      </c>
      <c r="BG2" s="69"/>
      <c r="BH2" s="69"/>
      <c r="BI2" s="61"/>
      <c r="BJ2" s="61"/>
      <c r="BK2" s="61"/>
      <c r="BL2" s="30"/>
      <c r="BM2" s="30"/>
      <c r="BN2" s="30" t="s">
        <v>296</v>
      </c>
      <c r="BO2" s="30"/>
      <c r="BP2" s="30"/>
      <c r="BQ2" s="30"/>
      <c r="BR2" s="30"/>
      <c r="BS2" s="30"/>
      <c r="BT2" s="30"/>
      <c r="BU2" s="30" t="s">
        <v>296</v>
      </c>
      <c r="BV2" s="30"/>
      <c r="BW2" s="30"/>
      <c r="BX2" s="30"/>
      <c r="BY2" s="30"/>
      <c r="BZ2" s="30"/>
      <c r="CA2" s="30" t="s">
        <v>305</v>
      </c>
      <c r="CB2" s="30"/>
      <c r="CC2" s="30"/>
      <c r="CD2" s="30" t="s">
        <v>305</v>
      </c>
      <c r="CE2" s="30"/>
      <c r="CF2" s="30"/>
      <c r="CG2" s="30"/>
      <c r="CH2" s="30"/>
      <c r="CI2" s="30"/>
      <c r="CJ2" s="30" t="s">
        <v>308</v>
      </c>
      <c r="CK2" s="30"/>
      <c r="CL2" s="30"/>
      <c r="CM2" s="30" t="s">
        <v>305</v>
      </c>
      <c r="CN2" s="30" t="s">
        <v>296</v>
      </c>
      <c r="CO2" s="30"/>
      <c r="CP2" s="30"/>
      <c r="CQ2" s="30"/>
      <c r="CR2" s="30"/>
      <c r="CS2" s="30"/>
      <c r="CT2" s="30"/>
      <c r="CU2" s="30"/>
      <c r="CV2" s="30"/>
      <c r="CW2" s="39" t="s">
        <v>4</v>
      </c>
      <c r="CX2" s="39"/>
      <c r="CY2" s="39"/>
      <c r="CZ2" s="39"/>
      <c r="DA2" s="53" t="s">
        <v>5</v>
      </c>
      <c r="DB2" s="53"/>
      <c r="DC2" s="39"/>
      <c r="DD2" s="39"/>
      <c r="DE2" s="53" t="s">
        <v>10</v>
      </c>
      <c r="DF2" s="53"/>
      <c r="DG2" s="53"/>
      <c r="DH2" s="53"/>
      <c r="DI2" s="53" t="s">
        <v>93</v>
      </c>
      <c r="DJ2" s="53"/>
      <c r="DK2" s="53"/>
      <c r="DL2" s="53"/>
      <c r="DM2" s="53" t="s">
        <v>6</v>
      </c>
      <c r="DN2" s="53"/>
      <c r="DO2" s="53"/>
      <c r="DP2" s="53"/>
      <c r="DQ2" s="53" t="s">
        <v>12</v>
      </c>
      <c r="DR2" s="53"/>
      <c r="DS2" s="53"/>
      <c r="DT2" s="53"/>
      <c r="DU2" s="53" t="s">
        <v>7</v>
      </c>
      <c r="DV2" s="53"/>
      <c r="DW2" s="53"/>
      <c r="DX2" s="53"/>
      <c r="DY2" s="53" t="s">
        <v>8</v>
      </c>
      <c r="DZ2" s="53"/>
      <c r="EA2" s="53"/>
      <c r="EB2" s="53"/>
      <c r="EC2" s="53" t="s">
        <v>9</v>
      </c>
      <c r="ED2" s="53"/>
      <c r="EE2" s="53"/>
      <c r="EF2" s="53"/>
      <c r="EG2" s="53" t="s">
        <v>102</v>
      </c>
      <c r="EH2" s="53"/>
      <c r="EI2" s="53"/>
      <c r="EJ2" s="53"/>
      <c r="EK2" s="53" t="s">
        <v>126</v>
      </c>
      <c r="EL2" s="53"/>
      <c r="EM2" s="40"/>
      <c r="EN2" s="68" t="s">
        <v>85</v>
      </c>
      <c r="EO2" s="68"/>
      <c r="EP2" s="44" t="s">
        <v>20</v>
      </c>
      <c r="EQ2" s="44"/>
    </row>
    <row r="3" spans="1:147" s="15" customFormat="1" ht="93.6" customHeight="1" x14ac:dyDescent="0.25">
      <c r="A3" s="13" t="s">
        <v>424</v>
      </c>
      <c r="B3" s="265" t="s">
        <v>0</v>
      </c>
      <c r="C3" s="262"/>
      <c r="D3" s="258" t="s">
        <v>22</v>
      </c>
      <c r="E3" s="258" t="s">
        <v>39</v>
      </c>
      <c r="F3" s="258" t="s">
        <v>21</v>
      </c>
      <c r="G3" s="258" t="s">
        <v>68</v>
      </c>
      <c r="H3" s="15" t="s">
        <v>343</v>
      </c>
      <c r="I3" s="15" t="s">
        <v>346</v>
      </c>
      <c r="J3" s="15" t="s">
        <v>344</v>
      </c>
      <c r="K3" s="15" t="s">
        <v>345</v>
      </c>
      <c r="L3" s="15" t="s">
        <v>347</v>
      </c>
      <c r="M3" s="20" t="s">
        <v>123</v>
      </c>
      <c r="N3" s="20" t="s">
        <v>369</v>
      </c>
      <c r="O3" s="15" t="s">
        <v>363</v>
      </c>
      <c r="P3" s="15" t="s">
        <v>119</v>
      </c>
      <c r="Q3" s="15" t="s">
        <v>89</v>
      </c>
      <c r="R3" s="15" t="s">
        <v>366</v>
      </c>
      <c r="S3" s="15" t="s">
        <v>367</v>
      </c>
      <c r="T3" s="15" t="s">
        <v>368</v>
      </c>
      <c r="U3" s="21" t="s">
        <v>377</v>
      </c>
      <c r="V3" s="15" t="s">
        <v>34</v>
      </c>
      <c r="W3" s="15" t="s">
        <v>35</v>
      </c>
      <c r="X3" s="15" t="s">
        <v>350</v>
      </c>
      <c r="Y3" s="15" t="s">
        <v>51</v>
      </c>
      <c r="Z3" s="15" t="s">
        <v>52</v>
      </c>
      <c r="AA3" s="15" t="s">
        <v>351</v>
      </c>
      <c r="AB3" s="22" t="s">
        <v>124</v>
      </c>
      <c r="AC3" s="22" t="s">
        <v>125</v>
      </c>
      <c r="AD3" s="22" t="s">
        <v>3</v>
      </c>
      <c r="AE3" s="122" t="s">
        <v>348</v>
      </c>
      <c r="AF3" s="23" t="s">
        <v>204</v>
      </c>
      <c r="AG3" s="23" t="s">
        <v>205</v>
      </c>
      <c r="AH3" s="23" t="s">
        <v>206</v>
      </c>
      <c r="AI3" s="23" t="s">
        <v>207</v>
      </c>
      <c r="AJ3" s="23" t="s">
        <v>349</v>
      </c>
      <c r="AK3" s="23" t="s">
        <v>211</v>
      </c>
      <c r="AL3" s="23" t="s">
        <v>210</v>
      </c>
      <c r="AM3" s="23" t="s">
        <v>208</v>
      </c>
      <c r="AN3" s="23" t="s">
        <v>209</v>
      </c>
      <c r="AO3" s="51" t="s">
        <v>364</v>
      </c>
      <c r="AP3" s="47" t="s">
        <v>370</v>
      </c>
      <c r="AQ3" s="47" t="s">
        <v>251</v>
      </c>
      <c r="AR3" s="47" t="s">
        <v>365</v>
      </c>
      <c r="AS3" s="47" t="s">
        <v>371</v>
      </c>
      <c r="AT3" s="47" t="s">
        <v>372</v>
      </c>
      <c r="AU3" s="47" t="s">
        <v>20</v>
      </c>
      <c r="AV3" s="47" t="s">
        <v>220</v>
      </c>
      <c r="AW3" s="102"/>
      <c r="AX3" s="30"/>
      <c r="AY3" s="38" t="s">
        <v>11</v>
      </c>
      <c r="AZ3" s="46" t="s">
        <v>83</v>
      </c>
      <c r="BA3" s="23" t="s">
        <v>38</v>
      </c>
      <c r="BB3" s="122" t="s">
        <v>86</v>
      </c>
      <c r="BC3" s="20" t="s">
        <v>46</v>
      </c>
      <c r="BD3" s="21" t="s">
        <v>14</v>
      </c>
      <c r="BE3" s="22" t="s">
        <v>15</v>
      </c>
      <c r="BF3" s="48" t="s">
        <v>38</v>
      </c>
      <c r="BG3" s="47" t="s">
        <v>86</v>
      </c>
      <c r="BH3" s="38" t="s">
        <v>11</v>
      </c>
      <c r="BI3" s="30"/>
      <c r="BJ3" s="30"/>
      <c r="BK3" s="30"/>
      <c r="BL3" s="30"/>
      <c r="BM3" s="30"/>
      <c r="BN3" s="30" t="s">
        <v>245</v>
      </c>
      <c r="BO3" s="30"/>
      <c r="BP3" s="30" t="s">
        <v>306</v>
      </c>
      <c r="BQ3" s="30" t="s">
        <v>293</v>
      </c>
      <c r="BR3" s="30" t="s">
        <v>294</v>
      </c>
      <c r="BS3" s="30" t="s">
        <v>295</v>
      </c>
      <c r="BT3" s="30" t="s">
        <v>240</v>
      </c>
      <c r="BU3" s="30" t="s">
        <v>301</v>
      </c>
      <c r="BV3" s="30" t="s">
        <v>302</v>
      </c>
      <c r="BW3" s="30" t="s">
        <v>303</v>
      </c>
      <c r="BX3" s="30" t="s">
        <v>301</v>
      </c>
      <c r="BY3" s="30" t="s">
        <v>302</v>
      </c>
      <c r="BZ3" s="30" t="s">
        <v>303</v>
      </c>
      <c r="CA3" s="30" t="s">
        <v>293</v>
      </c>
      <c r="CB3" s="30" t="s">
        <v>294</v>
      </c>
      <c r="CC3" s="30" t="s">
        <v>295</v>
      </c>
      <c r="CD3" s="30" t="s">
        <v>301</v>
      </c>
      <c r="CE3" s="30" t="s">
        <v>302</v>
      </c>
      <c r="CF3" s="30" t="s">
        <v>303</v>
      </c>
      <c r="CG3" s="30" t="s">
        <v>311</v>
      </c>
      <c r="CH3" s="30" t="s">
        <v>312</v>
      </c>
      <c r="CI3" s="30" t="s">
        <v>313</v>
      </c>
      <c r="CJ3" s="30" t="s">
        <v>241</v>
      </c>
      <c r="CK3" s="30" t="s">
        <v>242</v>
      </c>
      <c r="CL3" s="30" t="s">
        <v>243</v>
      </c>
      <c r="CM3" s="30" t="s">
        <v>240</v>
      </c>
      <c r="CN3" s="30" t="s">
        <v>297</v>
      </c>
      <c r="CO3" s="30" t="s">
        <v>298</v>
      </c>
      <c r="CP3" s="30" t="s">
        <v>299</v>
      </c>
      <c r="CQ3" s="30" t="s">
        <v>309</v>
      </c>
      <c r="CR3" s="30" t="s">
        <v>310</v>
      </c>
      <c r="CS3" s="30" t="s">
        <v>300</v>
      </c>
      <c r="CT3" s="30"/>
      <c r="CU3" s="30"/>
      <c r="CV3" s="30"/>
      <c r="CW3" s="24" t="s">
        <v>47</v>
      </c>
      <c r="CX3" s="20" t="s">
        <v>46</v>
      </c>
      <c r="CY3" s="21" t="s">
        <v>14</v>
      </c>
      <c r="CZ3" s="22" t="s">
        <v>15</v>
      </c>
      <c r="DA3" s="24" t="s">
        <v>47</v>
      </c>
      <c r="DB3" s="20" t="s">
        <v>46</v>
      </c>
      <c r="DC3" s="21" t="s">
        <v>14</v>
      </c>
      <c r="DD3" s="22" t="s">
        <v>15</v>
      </c>
      <c r="DE3" s="24" t="s">
        <v>47</v>
      </c>
      <c r="DF3" s="20" t="s">
        <v>46</v>
      </c>
      <c r="DG3" s="21" t="s">
        <v>14</v>
      </c>
      <c r="DH3" s="22" t="s">
        <v>15</v>
      </c>
      <c r="DI3" s="24" t="s">
        <v>47</v>
      </c>
      <c r="DJ3" s="20" t="s">
        <v>46</v>
      </c>
      <c r="DK3" s="21" t="s">
        <v>14</v>
      </c>
      <c r="DL3" s="22" t="s">
        <v>15</v>
      </c>
      <c r="DM3" s="24" t="s">
        <v>47</v>
      </c>
      <c r="DN3" s="20" t="s">
        <v>46</v>
      </c>
      <c r="DO3" s="21" t="s">
        <v>14</v>
      </c>
      <c r="DP3" s="22" t="s">
        <v>15</v>
      </c>
      <c r="DQ3" s="24" t="s">
        <v>47</v>
      </c>
      <c r="DR3" s="20" t="s">
        <v>46</v>
      </c>
      <c r="DS3" s="21" t="s">
        <v>14</v>
      </c>
      <c r="DT3" s="22" t="s">
        <v>15</v>
      </c>
      <c r="DU3" s="24" t="s">
        <v>47</v>
      </c>
      <c r="DV3" s="20" t="s">
        <v>46</v>
      </c>
      <c r="DW3" s="21" t="s">
        <v>14</v>
      </c>
      <c r="DX3" s="22" t="s">
        <v>15</v>
      </c>
      <c r="DY3" s="24" t="s">
        <v>47</v>
      </c>
      <c r="DZ3" s="20" t="s">
        <v>46</v>
      </c>
      <c r="EA3" s="21" t="s">
        <v>14</v>
      </c>
      <c r="EB3" s="22" t="s">
        <v>15</v>
      </c>
      <c r="EC3" s="24" t="s">
        <v>47</v>
      </c>
      <c r="ED3" s="20" t="s">
        <v>46</v>
      </c>
      <c r="EE3" s="21" t="s">
        <v>14</v>
      </c>
      <c r="EF3" s="22" t="s">
        <v>15</v>
      </c>
      <c r="EG3" s="24" t="s">
        <v>47</v>
      </c>
      <c r="EH3" s="20" t="s">
        <v>46</v>
      </c>
      <c r="EI3" s="21" t="s">
        <v>14</v>
      </c>
      <c r="EJ3" s="22" t="s">
        <v>15</v>
      </c>
      <c r="EK3" s="24" t="s">
        <v>47</v>
      </c>
      <c r="EL3" s="21" t="s">
        <v>14</v>
      </c>
      <c r="EM3" s="30"/>
      <c r="EN3" s="49" t="s">
        <v>38</v>
      </c>
      <c r="EO3" s="36" t="s">
        <v>86</v>
      </c>
      <c r="EP3" s="48" t="s">
        <v>38</v>
      </c>
      <c r="EQ3" s="47" t="s">
        <v>86</v>
      </c>
    </row>
    <row r="4" spans="1:147" x14ac:dyDescent="0.25">
      <c r="B4" s="266" t="s">
        <v>342</v>
      </c>
      <c r="C4" s="259"/>
      <c r="D4" s="84" t="s">
        <v>4</v>
      </c>
      <c r="E4" s="84" t="s">
        <v>38</v>
      </c>
      <c r="F4" s="84" t="s">
        <v>24</v>
      </c>
      <c r="G4" s="84" t="s">
        <v>1</v>
      </c>
      <c r="H4" s="16"/>
      <c r="I4" s="6"/>
      <c r="J4" s="6"/>
      <c r="K4" s="6"/>
      <c r="L4" s="6"/>
      <c r="M4" s="19">
        <f>H4*I4</f>
        <v>0</v>
      </c>
      <c r="N4" s="19">
        <f t="shared" ref="N4:N30" si="0">(H4*I4)+(K4*L4)+(J4*L4)</f>
        <v>0</v>
      </c>
      <c r="O4" s="9"/>
      <c r="P4" t="s">
        <v>120</v>
      </c>
      <c r="Q4" t="s">
        <v>212</v>
      </c>
      <c r="R4" s="9"/>
      <c r="U4" s="4">
        <f>(R4*T4)+(S4*T4)</f>
        <v>0</v>
      </c>
      <c r="AB4" s="5">
        <f>(V4*X4)+(W4*X4)</f>
        <v>0</v>
      </c>
      <c r="AC4" s="5">
        <f>(Y4*AA4)+(Z4*AA4)</f>
        <v>0</v>
      </c>
      <c r="AD4" s="5">
        <f t="shared" ref="AD4:AD30" si="1">(V4*X4)+(W4*X4)+(Y4*AA4)+(Z4*AA4)</f>
        <v>0</v>
      </c>
      <c r="AE4" s="43">
        <f t="shared" ref="AE4:AE31" si="2">N4+U4+AD4</f>
        <v>0</v>
      </c>
      <c r="AF4" s="3">
        <f>(H4*I4)+(K4*L4)</f>
        <v>0</v>
      </c>
      <c r="AG4" s="3">
        <f>(S4*T4)</f>
        <v>0</v>
      </c>
      <c r="AH4" s="3">
        <f>(W4*X4)</f>
        <v>0</v>
      </c>
      <c r="AI4" s="3">
        <f>(Z4*AA4)</f>
        <v>0</v>
      </c>
      <c r="AJ4" s="3">
        <f>(H4*I4)+(K4*L4)+(S4*T4)+(W4*X4)+(Z4*AA4)</f>
        <v>0</v>
      </c>
      <c r="AK4" s="3">
        <f>(J4*L4)</f>
        <v>0</v>
      </c>
      <c r="AL4" s="3">
        <f>(R4*T4)</f>
        <v>0</v>
      </c>
      <c r="AM4" s="3">
        <f>(V4*X4)</f>
        <v>0</v>
      </c>
      <c r="AN4" s="3">
        <f>(Y4*AA4)</f>
        <v>0</v>
      </c>
      <c r="AO4" s="54">
        <f>(J4*L4)+(R4*T4)+(V4*X4)+(Y4*AA4)</f>
        <v>0</v>
      </c>
      <c r="AQ4" t="s">
        <v>42</v>
      </c>
      <c r="AU4" s="104">
        <f>AS4*AT4</f>
        <v>0</v>
      </c>
      <c r="AV4" s="104">
        <f t="shared" ref="AV4:AV31" si="3">(AR4*AT4)</f>
        <v>0</v>
      </c>
      <c r="AW4" s="79"/>
      <c r="AY4" s="10" t="e">
        <f t="shared" ref="AY4:AY31" si="4">BC4+BD4+BE4</f>
        <v>#DIV/0!</v>
      </c>
      <c r="AZ4" s="10" t="e">
        <f t="shared" ref="AZ4:AZ31" si="5">AJ4/$C$7</f>
        <v>#DIV/0!</v>
      </c>
      <c r="BA4" s="10" t="e">
        <f t="shared" ref="BA4:BA31" si="6">(AE4/$C$7)*EN4</f>
        <v>#DIV/0!</v>
      </c>
      <c r="BB4" s="10" t="e">
        <f t="shared" ref="BB4:BB31" si="7">(AE4/$C$7)*EO4</f>
        <v>#DIV/0!</v>
      </c>
      <c r="BC4" s="10" t="e">
        <f t="shared" ref="BC4:BC31" si="8">CX4+DB4+DF4+DJ4+DN4+DR4+DV4+DZ4+ED4+EH4</f>
        <v>#DIV/0!</v>
      </c>
      <c r="BD4" s="10" t="e">
        <f t="shared" ref="BD4:BD31" si="9">CY4+DC4+DG4+DK4+DO4+DS4+DW4+EA4+EE4+EI4</f>
        <v>#DIV/0!</v>
      </c>
      <c r="BE4" s="10" t="e">
        <f t="shared" ref="BE4:BE31" si="10">CZ4+DD4+DH4+DL4+DP4+DT4+DX4+EB4+EF4+EJ4</f>
        <v>#DIV/0!</v>
      </c>
      <c r="BF4" s="10" t="e">
        <f t="shared" ref="BF4:BF31" si="11">(AV4/$C$7)*EP4</f>
        <v>#DIV/0!</v>
      </c>
      <c r="BG4" s="10" t="e">
        <f t="shared" ref="BG4:BG31" si="12">(AV4/$C$7)*EQ4</f>
        <v>#DIV/0!</v>
      </c>
      <c r="BH4" s="10" t="e">
        <f>BF4+BG4</f>
        <v>#DIV/0!</v>
      </c>
      <c r="BI4" s="10"/>
      <c r="BJ4" s="10"/>
      <c r="BK4" s="10"/>
      <c r="BL4" s="10"/>
      <c r="BM4" s="10"/>
      <c r="BN4" s="113" t="e">
        <f>AR4/VLOOKUP(AP4,References!$A$3:$C$53,2,FALSE)</f>
        <v>#N/A</v>
      </c>
      <c r="BO4" s="113">
        <f>(IF(ISNUMBER(BN4),BN4,0))</f>
        <v>0</v>
      </c>
      <c r="BP4" s="113" t="e">
        <f t="shared" ref="BP4:BP31" si="13">BO4/$C$7</f>
        <v>#DIV/0!</v>
      </c>
      <c r="BQ4" s="113">
        <f>((R4*(VLOOKUP(Q4,References!$A$57:$D$110,2,FALSE))%)+(S4*(VLOOKUP(Q4,References!$A$57:$D$110,2,FALSE))%)*(CW4+DA4+DM4))</f>
        <v>0</v>
      </c>
      <c r="BR4" s="113">
        <f>((R4*(VLOOKUP(Q4,References!$A$57:$D$110,3,FALSE))%)+(S4*(VLOOKUP(Q4,References!$A$57:$D$110,3,FALSE))%)*(CW4+DA4+DM4))</f>
        <v>0</v>
      </c>
      <c r="BS4" s="113">
        <f>((R4*(VLOOKUP(Q4,References!$A$57:$D$110,4,FALSE))%)+(S4*(VLOOKUP(Q4,References!$A$57:$D$110,4,FALSE))%)*(CW4+DA4+DM4))</f>
        <v>0</v>
      </c>
      <c r="BT4" s="10">
        <f>((((R4+S4)/100)*VLOOKUP(Q4,References!$A$58:$M$110,13,FALSE))*(CW4+DA4+DM4))</f>
        <v>0</v>
      </c>
      <c r="BU4" s="10" t="e">
        <f>(AR4/1000)*VLOOKUP(AP4,References!$A$4:$P$54,11,FALSE)</f>
        <v>#N/A</v>
      </c>
      <c r="BV4" s="10" t="e">
        <f>(AR4/1000)*VLOOKUP(AP4,References!$A$4:$P$54,12,FALSE)</f>
        <v>#N/A</v>
      </c>
      <c r="BW4" s="10" t="e">
        <f>(AR4/1000)*VLOOKUP(AP4,References!$A$4:$P$54,13,FALSE)</f>
        <v>#N/A</v>
      </c>
      <c r="BX4" s="113">
        <f>(IF(ISNUMBER(BU4),BU4,0))</f>
        <v>0</v>
      </c>
      <c r="BY4" s="113">
        <f t="shared" ref="BY4:BZ4" si="14">(IF(ISNUMBER(BV4),BV4,0))</f>
        <v>0</v>
      </c>
      <c r="BZ4" s="113">
        <f t="shared" si="14"/>
        <v>0</v>
      </c>
      <c r="CA4" s="113" t="e">
        <f t="shared" ref="CA4:CA31" si="15">BQ4/$C$7</f>
        <v>#DIV/0!</v>
      </c>
      <c r="CB4" s="113" t="e">
        <f t="shared" ref="CB4:CB31" si="16">BR4/$C$7</f>
        <v>#DIV/0!</v>
      </c>
      <c r="CC4" s="113" t="e">
        <f t="shared" ref="CC4:CC31" si="17">BS4/$C$7</f>
        <v>#DIV/0!</v>
      </c>
      <c r="CD4" s="113" t="e">
        <f t="shared" ref="CD4:CD31" si="18">BX4/$C$7</f>
        <v>#DIV/0!</v>
      </c>
      <c r="CE4" s="113" t="e">
        <f t="shared" ref="CE4:CE31" si="19">BY4/$C$7</f>
        <v>#DIV/0!</v>
      </c>
      <c r="CF4" s="113" t="e">
        <f t="shared" ref="CF4:CF31" si="20">BZ4/$C$7</f>
        <v>#DIV/0!</v>
      </c>
      <c r="CG4" s="113"/>
      <c r="CH4" s="113"/>
      <c r="CI4" s="113"/>
      <c r="CJ4" s="113"/>
      <c r="CK4" s="113"/>
      <c r="CL4" s="113"/>
      <c r="CM4" s="113" t="e">
        <f t="shared" ref="CM4:CM31" si="21">BT4/$C$7</f>
        <v>#DIV/0!</v>
      </c>
      <c r="CN4" s="113" t="e">
        <f>R4*VLOOKUP(Q4,References!$A$86:$E$158,2,FALSE)+S4*VLOOKUP(Q4,References!$A$86:$E$158,2,FALSE)</f>
        <v>#N/A</v>
      </c>
      <c r="CO4" s="113" t="e">
        <f>((VLOOKUP(Q4,References!$A$86:$E$158,3,FALSE)-(CN4/C$7))/(VLOOKUP(Q4,References!$A$86:$E$158,3,FALSE)))</f>
        <v>#N/A</v>
      </c>
      <c r="CP4" s="101" t="e">
        <f>1-CO4</f>
        <v>#N/A</v>
      </c>
      <c r="CQ4" s="113">
        <f>(IF(ISNUMBER(CN4),CN4,0))</f>
        <v>0</v>
      </c>
      <c r="CR4" s="113">
        <f t="shared" ref="CR4:CR31" si="22">(IF(ISNUMBER(CO4),CO4,0))</f>
        <v>0</v>
      </c>
      <c r="CS4" s="113">
        <f t="shared" ref="CS4:CS31" si="23">(IF(ISNUMBER(CP4),CP4,0))</f>
        <v>0</v>
      </c>
      <c r="CT4" s="113"/>
      <c r="CU4" s="10"/>
      <c r="CV4" s="10"/>
      <c r="CW4" s="7">
        <f>IF($D4="Land preparation",1,0)</f>
        <v>1</v>
      </c>
      <c r="CX4" s="7" t="e">
        <f t="shared" ref="CX4:CX31" si="24">(CW4*$N4)/$C$7</f>
        <v>#DIV/0!</v>
      </c>
      <c r="CY4" s="7" t="e">
        <f t="shared" ref="CY4:CY31" si="25">(CW4*$U4)/$C$7</f>
        <v>#DIV/0!</v>
      </c>
      <c r="CZ4" s="7" t="e">
        <f t="shared" ref="CZ4:CZ31" si="26">(CW4*$AD4)/$C$7</f>
        <v>#DIV/0!</v>
      </c>
      <c r="DA4" s="7">
        <f>IF($D4="Basal manuring",1,0)</f>
        <v>0</v>
      </c>
      <c r="DB4" s="7" t="e">
        <f t="shared" ref="DB4:DB31" si="27">(DA4*$N4)/$C$7</f>
        <v>#DIV/0!</v>
      </c>
      <c r="DC4" s="7" t="e">
        <f t="shared" ref="DC4:DC31" si="28">(DA4*$U4)/$C$7</f>
        <v>#DIV/0!</v>
      </c>
      <c r="DD4" s="7" t="e">
        <f t="shared" ref="DD4:DD31" si="29">(DA4*$AD4)/$C$7</f>
        <v>#DIV/0!</v>
      </c>
      <c r="DE4" s="7">
        <f>IF($D4="Sowing",1,0)</f>
        <v>0</v>
      </c>
      <c r="DF4" s="7" t="e">
        <f t="shared" ref="DF4:DF31" si="30">(DE4*$N4)/$C$7</f>
        <v>#DIV/0!</v>
      </c>
      <c r="DG4" s="7" t="e">
        <f t="shared" ref="DG4:DG31" si="31">(DE4*$U4)/$C$7</f>
        <v>#DIV/0!</v>
      </c>
      <c r="DH4" s="7" t="e">
        <f t="shared" ref="DH4:DH31" si="32">(DE4*$AD4)/$C$7</f>
        <v>#DIV/0!</v>
      </c>
      <c r="DI4" s="7">
        <f>IF($D4="Irrigation",1,0)</f>
        <v>0</v>
      </c>
      <c r="DJ4" s="7" t="e">
        <f t="shared" ref="DJ4:DJ31" si="33">(DI4*$N4)/$C$7</f>
        <v>#DIV/0!</v>
      </c>
      <c r="DK4" s="7" t="e">
        <f t="shared" ref="DK4:DK31" si="34">(DI4*$U4)/$C$7</f>
        <v>#DIV/0!</v>
      </c>
      <c r="DL4" s="7" t="e">
        <f t="shared" ref="DL4:DL31" si="35">(DI4*$AD4)/$C$7</f>
        <v>#DIV/0!</v>
      </c>
      <c r="DM4" s="7">
        <f>IF($D4="Top dressing",1,0)</f>
        <v>0</v>
      </c>
      <c r="DN4" s="7" t="e">
        <f t="shared" ref="DN4:DN31" si="36">(DM4*$N4)/$C$7</f>
        <v>#DIV/0!</v>
      </c>
      <c r="DO4" s="7" t="e">
        <f t="shared" ref="DO4:DO31" si="37">(DM4*$U4)/$C$7</f>
        <v>#DIV/0!</v>
      </c>
      <c r="DP4" s="7" t="e">
        <f t="shared" ref="DP4:DP31" si="38">(DM4*$AD4)/$C$7</f>
        <v>#DIV/0!</v>
      </c>
      <c r="DQ4" s="7">
        <f>IF($D4="Weed management",1,0)</f>
        <v>0</v>
      </c>
      <c r="DR4" s="7" t="e">
        <f t="shared" ref="DR4:DR31" si="39">(DQ4*$N4)/$C$7</f>
        <v>#DIV/0!</v>
      </c>
      <c r="DS4" s="7" t="e">
        <f t="shared" ref="DS4:DS31" si="40">(DQ4*$U4)/$C$7</f>
        <v>#DIV/0!</v>
      </c>
      <c r="DT4" s="7" t="e">
        <f t="shared" ref="DT4:DT31" si="41">(DQ4*$AD4)/$C$7</f>
        <v>#DIV/0!</v>
      </c>
      <c r="DU4" s="7">
        <f>IF($D4="Pest management",1,0)</f>
        <v>0</v>
      </c>
      <c r="DV4" s="7" t="e">
        <f t="shared" ref="DV4:DV31" si="42">(DU4*$N4)/$C$7</f>
        <v>#DIV/0!</v>
      </c>
      <c r="DW4" s="7" t="e">
        <f t="shared" ref="DW4:DW31" si="43">(DU4*$U4)/$C$7</f>
        <v>#DIV/0!</v>
      </c>
      <c r="DX4" s="7" t="e">
        <f t="shared" ref="DX4:DX31" si="44">(DU4*$AD4)/$C$7</f>
        <v>#DIV/0!</v>
      </c>
      <c r="DY4" s="7">
        <f>IF($D4="Harvesting",1,0)</f>
        <v>0</v>
      </c>
      <c r="DZ4" s="7" t="e">
        <f t="shared" ref="DZ4:DZ31" si="45">(DY4*$N4)/$C$7</f>
        <v>#DIV/0!</v>
      </c>
      <c r="EA4" s="7" t="e">
        <f t="shared" ref="EA4:EA31" si="46">(DY4*$U4)/$C$7</f>
        <v>#DIV/0!</v>
      </c>
      <c r="EB4" s="7" t="e">
        <f t="shared" ref="EB4:EB31" si="47">(DY4*$AD4)/$C$7</f>
        <v>#DIV/0!</v>
      </c>
      <c r="EC4" s="7">
        <f>IF($D4="Post harvesting",1,0)</f>
        <v>0</v>
      </c>
      <c r="ED4" s="7" t="e">
        <f t="shared" ref="ED4:ED31" si="48">(EC4*$N4)/$C$7</f>
        <v>#DIV/0!</v>
      </c>
      <c r="EE4" s="7" t="e">
        <f t="shared" ref="EE4:EE31" si="49">(EC4*$U4)/$C$7</f>
        <v>#DIV/0!</v>
      </c>
      <c r="EF4" s="7" t="e">
        <f t="shared" ref="EF4:EF31" si="50">(EC4*$AD4)/$C$7</f>
        <v>#DIV/0!</v>
      </c>
      <c r="EG4" s="7">
        <f>IF($D4="Transportation",1,0)</f>
        <v>0</v>
      </c>
      <c r="EH4" s="7" t="e">
        <f t="shared" ref="EH4:EH31" si="51">(EG4*$N4)/$C$7</f>
        <v>#DIV/0!</v>
      </c>
      <c r="EI4" s="7" t="e">
        <f t="shared" ref="EI4:EI31" si="52">(EG4*$U4)/$C$7</f>
        <v>#DIV/0!</v>
      </c>
      <c r="EJ4" s="7" t="e">
        <f t="shared" ref="EJ4:EJ31" si="53">(EG4*$AD4)/$C$7</f>
        <v>#DIV/0!</v>
      </c>
      <c r="EK4" s="7">
        <f>IF($P4="Organic",1,0)</f>
        <v>1</v>
      </c>
      <c r="EL4" s="7" t="e">
        <f t="shared" ref="EL4:EL31" si="54">(EK4*$U4)/$C$7</f>
        <v>#DIV/0!</v>
      </c>
      <c r="EM4" s="7"/>
      <c r="EN4" s="62">
        <f>IF($E4="Maincrop",1,0)</f>
        <v>1</v>
      </c>
      <c r="EO4" s="62">
        <f>IF($E4="Intercrops",1,0)</f>
        <v>0</v>
      </c>
      <c r="EP4" s="62" t="str">
        <f>IF(OR($AQ4="Maincrop: Yield",$AQ4="Maincrop: Byproduct"),"1","0")</f>
        <v>1</v>
      </c>
      <c r="EQ4" s="62" t="str">
        <f>IF(OR($AQ4="Intercrop: Yield",$AQ4="Intercrop: Byproduct"),"1","0")</f>
        <v>0</v>
      </c>
    </row>
    <row r="5" spans="1:147" x14ac:dyDescent="0.25">
      <c r="B5" s="267" t="s">
        <v>219</v>
      </c>
      <c r="C5" s="263"/>
      <c r="D5" s="84" t="s">
        <v>4</v>
      </c>
      <c r="E5" s="84" t="s">
        <v>38</v>
      </c>
      <c r="F5" s="84" t="s">
        <v>25</v>
      </c>
      <c r="G5" s="84" t="s">
        <v>1</v>
      </c>
      <c r="H5" s="16"/>
      <c r="I5" s="6"/>
      <c r="J5" s="6"/>
      <c r="K5" s="6"/>
      <c r="L5" s="6"/>
      <c r="M5" s="19">
        <f t="shared" ref="M5:M30" si="55">H5*I5</f>
        <v>0</v>
      </c>
      <c r="N5" s="19">
        <f t="shared" si="0"/>
        <v>0</v>
      </c>
      <c r="O5" s="9"/>
      <c r="P5" s="9" t="s">
        <v>120</v>
      </c>
      <c r="Q5" s="9" t="s">
        <v>212</v>
      </c>
      <c r="R5" s="9"/>
      <c r="U5" s="4">
        <f t="shared" ref="U5:U31" si="56">(R5*T5)+(S5*T5)</f>
        <v>0</v>
      </c>
      <c r="AB5" s="5">
        <f t="shared" ref="AB5:AB31" si="57">(V5*X5)+(W5*X5)</f>
        <v>0</v>
      </c>
      <c r="AC5" s="5">
        <f t="shared" ref="AC5:AC31" si="58">(Y5*AA5)+(Z5*AA5)</f>
        <v>0</v>
      </c>
      <c r="AD5" s="5">
        <f t="shared" si="1"/>
        <v>0</v>
      </c>
      <c r="AE5" s="43">
        <f t="shared" si="2"/>
        <v>0</v>
      </c>
      <c r="AF5" s="3">
        <f t="shared" ref="AF5:AF31" si="59">(H5*I5)+(K5*L5)</f>
        <v>0</v>
      </c>
      <c r="AG5" s="3">
        <f t="shared" ref="AG5:AG31" si="60">(S5*T5)</f>
        <v>0</v>
      </c>
      <c r="AH5" s="3">
        <f t="shared" ref="AH5:AH31" si="61">(W5*X5)</f>
        <v>0</v>
      </c>
      <c r="AI5" s="3">
        <f t="shared" ref="AI5:AI31" si="62">(Z5*AA5)</f>
        <v>0</v>
      </c>
      <c r="AJ5" s="3">
        <f t="shared" ref="AJ5:AJ31" si="63">(H5*I5)+(K5*L5)+(S5*T5)+(W5*X5)+(Z5*AA5)</f>
        <v>0</v>
      </c>
      <c r="AK5" s="3">
        <f t="shared" ref="AK5:AK31" si="64">(J5*L5)</f>
        <v>0</v>
      </c>
      <c r="AL5" s="3">
        <f t="shared" ref="AL5:AL31" si="65">(R5*T5)</f>
        <v>0</v>
      </c>
      <c r="AM5" s="3">
        <f t="shared" ref="AM5:AM31" si="66">(V5*X5)</f>
        <v>0</v>
      </c>
      <c r="AN5" s="3">
        <f t="shared" ref="AN5:AN31" si="67">(Y5*AA5)</f>
        <v>0</v>
      </c>
      <c r="AO5" s="54">
        <f t="shared" ref="AO5:AO31" si="68">(J5*L5)+(R5*T5)+(V5*X5)+(Y5*AA5)</f>
        <v>0</v>
      </c>
      <c r="AQ5" t="s">
        <v>43</v>
      </c>
      <c r="AU5" s="104">
        <f t="shared" ref="AU5:AU31" si="69">AS5*AT5</f>
        <v>0</v>
      </c>
      <c r="AV5" s="104">
        <f t="shared" si="3"/>
        <v>0</v>
      </c>
      <c r="AW5" s="79"/>
      <c r="AY5" s="10" t="e">
        <f t="shared" si="4"/>
        <v>#DIV/0!</v>
      </c>
      <c r="AZ5" s="10" t="e">
        <f t="shared" si="5"/>
        <v>#DIV/0!</v>
      </c>
      <c r="BA5" s="10" t="e">
        <f t="shared" si="6"/>
        <v>#DIV/0!</v>
      </c>
      <c r="BB5" s="10" t="e">
        <f t="shared" si="7"/>
        <v>#DIV/0!</v>
      </c>
      <c r="BC5" s="10" t="e">
        <f t="shared" si="8"/>
        <v>#DIV/0!</v>
      </c>
      <c r="BD5" s="10" t="e">
        <f t="shared" si="9"/>
        <v>#DIV/0!</v>
      </c>
      <c r="BE5" s="10" t="e">
        <f t="shared" si="10"/>
        <v>#DIV/0!</v>
      </c>
      <c r="BF5" s="10" t="e">
        <f t="shared" si="11"/>
        <v>#DIV/0!</v>
      </c>
      <c r="BG5" s="10" t="e">
        <f t="shared" si="12"/>
        <v>#DIV/0!</v>
      </c>
      <c r="BH5" s="10" t="e">
        <f t="shared" ref="BH5:BH31" si="70">BF5+BG5</f>
        <v>#DIV/0!</v>
      </c>
      <c r="BI5" s="10"/>
      <c r="BJ5" s="10"/>
      <c r="BK5" s="10"/>
      <c r="BL5" s="10"/>
      <c r="BM5" s="10"/>
      <c r="BN5" s="113" t="e">
        <f>AR5/VLOOKUP(AP5,References!$A$3:$C$53,2,FALSE)</f>
        <v>#N/A</v>
      </c>
      <c r="BO5" s="113">
        <f t="shared" ref="BO5:BO31" si="71">(IF(ISNUMBER(BN5),BN5,0))</f>
        <v>0</v>
      </c>
      <c r="BP5" s="113" t="e">
        <f t="shared" si="13"/>
        <v>#DIV/0!</v>
      </c>
      <c r="BQ5" s="113">
        <f>((R5*(VLOOKUP(Q5,References!$A$57:$D$110,2,FALSE))%)+(S5*(VLOOKUP(Q5,References!$A$57:$D$110,2,FALSE))%)*(CW5+DA5+DM5))</f>
        <v>0</v>
      </c>
      <c r="BR5" s="113">
        <f>((R5*(VLOOKUP(Q5,References!$A$57:$D$110,3,FALSE))%)+(S5*(VLOOKUP(Q5,References!$A$57:$D$110,3,FALSE))%)*(CW5+DA5+DM5))</f>
        <v>0</v>
      </c>
      <c r="BS5" s="113">
        <f>((R5*(VLOOKUP(Q5,References!$A$57:$D$110,4,FALSE))%)+(S5*(VLOOKUP(Q5,References!$A$57:$D$110,4,FALSE))%)*(CW5+DA5+DM5))</f>
        <v>0</v>
      </c>
      <c r="BT5" s="10">
        <f>((((R5+S5)/100)*VLOOKUP(Q5,References!$A$58:$M$110,13,FALSE))*(CW5+DA5+DM5))</f>
        <v>0</v>
      </c>
      <c r="BU5" s="10" t="e">
        <f>(AR5/1000)*VLOOKUP(AP5,References!$A$4:$P$54,11,FALSE)</f>
        <v>#N/A</v>
      </c>
      <c r="BV5" s="10" t="e">
        <f>(AR5/1000)*VLOOKUP(AP5,References!$A$4:$P$54,12,FALSE)</f>
        <v>#N/A</v>
      </c>
      <c r="BW5" s="10" t="e">
        <f>(AR5/1000)*VLOOKUP(AP5,References!$A$4:$P$54,13,FALSE)</f>
        <v>#N/A</v>
      </c>
      <c r="BX5" s="113">
        <f t="shared" ref="BX5:BX31" si="72">(IF(ISNUMBER(BU5),BU5,0))</f>
        <v>0</v>
      </c>
      <c r="BY5" s="113">
        <f t="shared" ref="BY5:BY31" si="73">(IF(ISNUMBER(BV5),BV5,0))</f>
        <v>0</v>
      </c>
      <c r="BZ5" s="113">
        <f t="shared" ref="BZ5:BZ31" si="74">(IF(ISNUMBER(BW5),BW5,0))</f>
        <v>0</v>
      </c>
      <c r="CA5" s="113" t="e">
        <f t="shared" si="15"/>
        <v>#DIV/0!</v>
      </c>
      <c r="CB5" s="113" t="e">
        <f t="shared" si="16"/>
        <v>#DIV/0!</v>
      </c>
      <c r="CC5" s="113" t="e">
        <f t="shared" si="17"/>
        <v>#DIV/0!</v>
      </c>
      <c r="CD5" s="113" t="e">
        <f t="shared" si="18"/>
        <v>#DIV/0!</v>
      </c>
      <c r="CE5" s="113" t="e">
        <f t="shared" si="19"/>
        <v>#DIV/0!</v>
      </c>
      <c r="CF5" s="113" t="e">
        <f t="shared" si="20"/>
        <v>#DIV/0!</v>
      </c>
      <c r="CG5" s="113"/>
      <c r="CH5" s="113"/>
      <c r="CI5" s="113"/>
      <c r="CJ5" s="113"/>
      <c r="CK5" s="113"/>
      <c r="CL5" s="113"/>
      <c r="CM5" s="113" t="e">
        <f t="shared" si="21"/>
        <v>#DIV/0!</v>
      </c>
      <c r="CN5" s="113" t="e">
        <f>R5*VLOOKUP(Q5,References!$A$86:$E$158,2,FALSE)+S5*VLOOKUP(Q5,References!$A$86:$E$158,2,FALSE)</f>
        <v>#N/A</v>
      </c>
      <c r="CO5" s="113" t="e">
        <f>((VLOOKUP(Q5,References!$A$86:$E$158,3,FALSE)-(CN5/C$7))/(VLOOKUP(Q5,References!$A$86:$E$158,3,FALSE)))</f>
        <v>#N/A</v>
      </c>
      <c r="CP5" s="101" t="e">
        <f t="shared" ref="CP5:CP31" si="75">1-CO5</f>
        <v>#N/A</v>
      </c>
      <c r="CQ5" s="113">
        <f t="shared" ref="CQ5:CQ31" si="76">(IF(ISNUMBER(CN5),CN5,0))</f>
        <v>0</v>
      </c>
      <c r="CR5" s="113">
        <f t="shared" si="22"/>
        <v>0</v>
      </c>
      <c r="CS5" s="113">
        <f t="shared" si="23"/>
        <v>0</v>
      </c>
      <c r="CT5" s="113"/>
      <c r="CU5" s="10"/>
      <c r="CV5" s="10"/>
      <c r="CW5" s="7">
        <f t="shared" ref="CW5:CW31" si="77">IF($D5="Land preparation",1,0)</f>
        <v>1</v>
      </c>
      <c r="CX5" s="7" t="e">
        <f t="shared" si="24"/>
        <v>#DIV/0!</v>
      </c>
      <c r="CY5" s="7" t="e">
        <f t="shared" si="25"/>
        <v>#DIV/0!</v>
      </c>
      <c r="CZ5" s="7" t="e">
        <f t="shared" si="26"/>
        <v>#DIV/0!</v>
      </c>
      <c r="DA5" s="7">
        <f t="shared" ref="DA5:DA31" si="78">IF($D5="Basal manuring",1,0)</f>
        <v>0</v>
      </c>
      <c r="DB5" s="7" t="e">
        <f t="shared" si="27"/>
        <v>#DIV/0!</v>
      </c>
      <c r="DC5" s="7" t="e">
        <f t="shared" si="28"/>
        <v>#DIV/0!</v>
      </c>
      <c r="DD5" s="7" t="e">
        <f t="shared" si="29"/>
        <v>#DIV/0!</v>
      </c>
      <c r="DE5" s="7">
        <f t="shared" ref="DE5:DE31" si="79">IF($D5="Sowing",1,0)</f>
        <v>0</v>
      </c>
      <c r="DF5" s="7" t="e">
        <f t="shared" si="30"/>
        <v>#DIV/0!</v>
      </c>
      <c r="DG5" s="7" t="e">
        <f t="shared" si="31"/>
        <v>#DIV/0!</v>
      </c>
      <c r="DH5" s="7" t="e">
        <f t="shared" si="32"/>
        <v>#DIV/0!</v>
      </c>
      <c r="DI5" s="7">
        <f t="shared" ref="DI5:DI31" si="80">IF($D5="Irrigation",1,0)</f>
        <v>0</v>
      </c>
      <c r="DJ5" s="7" t="e">
        <f t="shared" si="33"/>
        <v>#DIV/0!</v>
      </c>
      <c r="DK5" s="7" t="e">
        <f t="shared" si="34"/>
        <v>#DIV/0!</v>
      </c>
      <c r="DL5" s="7" t="e">
        <f t="shared" si="35"/>
        <v>#DIV/0!</v>
      </c>
      <c r="DM5" s="7">
        <f t="shared" ref="DM5:DM31" si="81">IF($D5="Top dressing",1,0)</f>
        <v>0</v>
      </c>
      <c r="DN5" s="7" t="e">
        <f t="shared" si="36"/>
        <v>#DIV/0!</v>
      </c>
      <c r="DO5" s="7" t="e">
        <f t="shared" si="37"/>
        <v>#DIV/0!</v>
      </c>
      <c r="DP5" s="7" t="e">
        <f t="shared" si="38"/>
        <v>#DIV/0!</v>
      </c>
      <c r="DQ5" s="7">
        <f t="shared" ref="DQ5:DQ31" si="82">IF($D5="Weed management",1,0)</f>
        <v>0</v>
      </c>
      <c r="DR5" s="7" t="e">
        <f t="shared" si="39"/>
        <v>#DIV/0!</v>
      </c>
      <c r="DS5" s="7" t="e">
        <f t="shared" si="40"/>
        <v>#DIV/0!</v>
      </c>
      <c r="DT5" s="7" t="e">
        <f t="shared" si="41"/>
        <v>#DIV/0!</v>
      </c>
      <c r="DU5" s="7">
        <f t="shared" ref="DU5:DU31" si="83">IF($D5="Pest management",1,0)</f>
        <v>0</v>
      </c>
      <c r="DV5" s="7" t="e">
        <f t="shared" si="42"/>
        <v>#DIV/0!</v>
      </c>
      <c r="DW5" s="7" t="e">
        <f t="shared" si="43"/>
        <v>#DIV/0!</v>
      </c>
      <c r="DX5" s="7" t="e">
        <f t="shared" si="44"/>
        <v>#DIV/0!</v>
      </c>
      <c r="DY5" s="7">
        <f t="shared" ref="DY5:DY31" si="84">IF($D5="Harvesting",1,0)</f>
        <v>0</v>
      </c>
      <c r="DZ5" s="7" t="e">
        <f t="shared" si="45"/>
        <v>#DIV/0!</v>
      </c>
      <c r="EA5" s="7" t="e">
        <f t="shared" si="46"/>
        <v>#DIV/0!</v>
      </c>
      <c r="EB5" s="7" t="e">
        <f t="shared" si="47"/>
        <v>#DIV/0!</v>
      </c>
      <c r="EC5" s="7">
        <f t="shared" ref="EC5:EC31" si="85">IF($D5="Post harvesting",1,0)</f>
        <v>0</v>
      </c>
      <c r="ED5" s="7" t="e">
        <f t="shared" si="48"/>
        <v>#DIV/0!</v>
      </c>
      <c r="EE5" s="7" t="e">
        <f t="shared" si="49"/>
        <v>#DIV/0!</v>
      </c>
      <c r="EF5" s="7" t="e">
        <f t="shared" si="50"/>
        <v>#DIV/0!</v>
      </c>
      <c r="EG5" s="7">
        <f t="shared" ref="EG5:EG31" si="86">IF($D5="Transportation",1,0)</f>
        <v>0</v>
      </c>
      <c r="EH5" s="7" t="e">
        <f t="shared" si="51"/>
        <v>#DIV/0!</v>
      </c>
      <c r="EI5" s="7" t="e">
        <f t="shared" si="52"/>
        <v>#DIV/0!</v>
      </c>
      <c r="EJ5" s="7" t="e">
        <f t="shared" si="53"/>
        <v>#DIV/0!</v>
      </c>
      <c r="EK5" s="7">
        <f t="shared" ref="EK5:EK31" si="87">IF($P5="Organic",1,0)</f>
        <v>1</v>
      </c>
      <c r="EL5" s="7" t="e">
        <f t="shared" si="54"/>
        <v>#DIV/0!</v>
      </c>
      <c r="EM5" s="7"/>
      <c r="EN5" s="63">
        <f t="shared" ref="EN5:EN30" si="88">IF($E5="Maincrop",1,0)</f>
        <v>1</v>
      </c>
      <c r="EO5" s="63">
        <f t="shared" ref="EO5:EO30" si="89">IF($E5="Intercrops",1,0)</f>
        <v>0</v>
      </c>
      <c r="EP5" s="62" t="str">
        <f>IF(OR($AQ5="Maincrop: Yield",$AQ5="Maincrop: Byproduct"),"1","0")</f>
        <v>1</v>
      </c>
      <c r="EQ5" s="63" t="str">
        <f t="shared" ref="EQ5:EQ30" si="90">IF(OR($AQ5="Intercrop: Yield",$AQ5="Intercrop: Byproduct"),"1","0")</f>
        <v>0</v>
      </c>
    </row>
    <row r="6" spans="1:147" x14ac:dyDescent="0.25">
      <c r="B6" s="266" t="s">
        <v>217</v>
      </c>
      <c r="C6" s="264"/>
      <c r="D6" s="84" t="s">
        <v>5</v>
      </c>
      <c r="E6" s="84" t="s">
        <v>38</v>
      </c>
      <c r="F6" s="84" t="s">
        <v>26</v>
      </c>
      <c r="G6" s="84" t="s">
        <v>1</v>
      </c>
      <c r="H6" s="16"/>
      <c r="I6" s="6"/>
      <c r="J6" s="6"/>
      <c r="K6" s="6"/>
      <c r="L6" s="6"/>
      <c r="M6" s="19">
        <f t="shared" si="55"/>
        <v>0</v>
      </c>
      <c r="N6" s="19">
        <f t="shared" si="0"/>
        <v>0</v>
      </c>
      <c r="O6" s="9"/>
      <c r="P6" s="9" t="s">
        <v>120</v>
      </c>
      <c r="Q6" s="9" t="s">
        <v>213</v>
      </c>
      <c r="R6" s="9"/>
      <c r="U6" s="4">
        <f t="shared" si="56"/>
        <v>0</v>
      </c>
      <c r="AB6" s="5">
        <f t="shared" si="57"/>
        <v>0</v>
      </c>
      <c r="AC6" s="5">
        <f t="shared" si="58"/>
        <v>0</v>
      </c>
      <c r="AD6" s="5">
        <f t="shared" si="1"/>
        <v>0</v>
      </c>
      <c r="AE6" s="43">
        <f t="shared" si="2"/>
        <v>0</v>
      </c>
      <c r="AF6" s="3">
        <f t="shared" si="59"/>
        <v>0</v>
      </c>
      <c r="AG6" s="3">
        <f t="shared" si="60"/>
        <v>0</v>
      </c>
      <c r="AH6" s="3">
        <f t="shared" si="61"/>
        <v>0</v>
      </c>
      <c r="AI6" s="3">
        <f t="shared" si="62"/>
        <v>0</v>
      </c>
      <c r="AJ6" s="3">
        <f t="shared" si="63"/>
        <v>0</v>
      </c>
      <c r="AK6" s="3">
        <f t="shared" si="64"/>
        <v>0</v>
      </c>
      <c r="AL6" s="3">
        <f t="shared" si="65"/>
        <v>0</v>
      </c>
      <c r="AM6" s="3">
        <f t="shared" si="66"/>
        <v>0</v>
      </c>
      <c r="AN6" s="3">
        <f t="shared" si="67"/>
        <v>0</v>
      </c>
      <c r="AO6" s="54">
        <f t="shared" si="68"/>
        <v>0</v>
      </c>
      <c r="AQ6" t="s">
        <v>44</v>
      </c>
      <c r="AU6" s="104">
        <f t="shared" si="69"/>
        <v>0</v>
      </c>
      <c r="AV6" s="104">
        <f t="shared" si="3"/>
        <v>0</v>
      </c>
      <c r="AW6" s="79"/>
      <c r="AY6" s="10" t="e">
        <f t="shared" si="4"/>
        <v>#DIV/0!</v>
      </c>
      <c r="AZ6" s="10" t="e">
        <f t="shared" si="5"/>
        <v>#DIV/0!</v>
      </c>
      <c r="BA6" s="10" t="e">
        <f t="shared" si="6"/>
        <v>#DIV/0!</v>
      </c>
      <c r="BB6" s="10" t="e">
        <f t="shared" si="7"/>
        <v>#DIV/0!</v>
      </c>
      <c r="BC6" s="10" t="e">
        <f t="shared" si="8"/>
        <v>#DIV/0!</v>
      </c>
      <c r="BD6" s="10" t="e">
        <f t="shared" si="9"/>
        <v>#DIV/0!</v>
      </c>
      <c r="BE6" s="10" t="e">
        <f t="shared" si="10"/>
        <v>#DIV/0!</v>
      </c>
      <c r="BF6" s="10" t="e">
        <f t="shared" si="11"/>
        <v>#DIV/0!</v>
      </c>
      <c r="BG6" s="10" t="e">
        <f t="shared" si="12"/>
        <v>#DIV/0!</v>
      </c>
      <c r="BH6" s="10" t="e">
        <f t="shared" si="70"/>
        <v>#DIV/0!</v>
      </c>
      <c r="BI6" s="10"/>
      <c r="BJ6" s="10"/>
      <c r="BK6" s="10"/>
      <c r="BL6" s="10"/>
      <c r="BM6" s="10"/>
      <c r="BN6" s="113" t="e">
        <f>AR6/VLOOKUP(AP6,References!$A$3:$C$53,2,FALSE)</f>
        <v>#N/A</v>
      </c>
      <c r="BO6" s="113">
        <f t="shared" si="71"/>
        <v>0</v>
      </c>
      <c r="BP6" s="113" t="e">
        <f t="shared" si="13"/>
        <v>#DIV/0!</v>
      </c>
      <c r="BQ6" s="113">
        <f>((R6*(VLOOKUP(Q6,References!$A$57:$D$110,2,FALSE))%)+(S6*(VLOOKUP(Q6,References!$A$57:$D$110,2,FALSE))%)*(CW6+DA6+DM6))</f>
        <v>0</v>
      </c>
      <c r="BR6" s="113">
        <f>((R6*(VLOOKUP(Q6,References!$A$57:$D$110,3,FALSE))%)+(S6*(VLOOKUP(Q6,References!$A$57:$D$110,3,FALSE))%)*(CW6+DA6+DM6))</f>
        <v>0</v>
      </c>
      <c r="BS6" s="113">
        <f>((R6*(VLOOKUP(Q6,References!$A$57:$D$110,4,FALSE))%)+(S6*(VLOOKUP(Q6,References!$A$57:$D$110,4,FALSE))%)*(CW6+DA6+DM6))</f>
        <v>0</v>
      </c>
      <c r="BT6" s="10">
        <f>((((R6+S6)/100)*VLOOKUP(Q6,References!$A$58:$M$110,13,FALSE))*(CW6+DA6+DM6))</f>
        <v>0</v>
      </c>
      <c r="BU6" s="10" t="e">
        <f>(AR6/1000)*VLOOKUP(AP6,References!$A$4:$P$54,11,FALSE)</f>
        <v>#N/A</v>
      </c>
      <c r="BV6" s="10" t="e">
        <f>(AR6/1000)*VLOOKUP(AP6,References!$A$4:$P$54,12,FALSE)</f>
        <v>#N/A</v>
      </c>
      <c r="BW6" s="10" t="e">
        <f>(AR6/1000)*VLOOKUP(AP6,References!$A$4:$P$54,13,FALSE)</f>
        <v>#N/A</v>
      </c>
      <c r="BX6" s="113">
        <f t="shared" si="72"/>
        <v>0</v>
      </c>
      <c r="BY6" s="113">
        <f t="shared" si="73"/>
        <v>0</v>
      </c>
      <c r="BZ6" s="113">
        <f t="shared" si="74"/>
        <v>0</v>
      </c>
      <c r="CA6" s="113" t="e">
        <f t="shared" si="15"/>
        <v>#DIV/0!</v>
      </c>
      <c r="CB6" s="113" t="e">
        <f t="shared" si="16"/>
        <v>#DIV/0!</v>
      </c>
      <c r="CC6" s="113" t="e">
        <f t="shared" si="17"/>
        <v>#DIV/0!</v>
      </c>
      <c r="CD6" s="113" t="e">
        <f t="shared" si="18"/>
        <v>#DIV/0!</v>
      </c>
      <c r="CE6" s="113" t="e">
        <f t="shared" si="19"/>
        <v>#DIV/0!</v>
      </c>
      <c r="CF6" s="113" t="e">
        <f t="shared" si="20"/>
        <v>#DIV/0!</v>
      </c>
      <c r="CG6" s="113"/>
      <c r="CH6" s="113"/>
      <c r="CI6" s="113"/>
      <c r="CJ6" s="113"/>
      <c r="CK6" s="113"/>
      <c r="CL6" s="113"/>
      <c r="CM6" s="113" t="e">
        <f t="shared" si="21"/>
        <v>#DIV/0!</v>
      </c>
      <c r="CN6" s="113" t="e">
        <f>R6*VLOOKUP(Q6,References!$A$86:$E$158,2,FALSE)+S6*VLOOKUP(Q6,References!$A$86:$E$158,2,FALSE)</f>
        <v>#N/A</v>
      </c>
      <c r="CO6" s="113" t="e">
        <f>((VLOOKUP(Q6,References!$A$86:$E$158,3,FALSE)-(CN6/C$7))/(VLOOKUP(Q6,References!$A$86:$E$158,3,FALSE)))</f>
        <v>#N/A</v>
      </c>
      <c r="CP6" s="101" t="e">
        <f t="shared" si="75"/>
        <v>#N/A</v>
      </c>
      <c r="CQ6" s="113">
        <f t="shared" si="76"/>
        <v>0</v>
      </c>
      <c r="CR6" s="113">
        <f t="shared" si="22"/>
        <v>0</v>
      </c>
      <c r="CS6" s="113">
        <f t="shared" si="23"/>
        <v>0</v>
      </c>
      <c r="CT6" s="113"/>
      <c r="CU6" s="10"/>
      <c r="CV6" s="10"/>
      <c r="CW6" s="7">
        <f t="shared" si="77"/>
        <v>0</v>
      </c>
      <c r="CX6" s="7" t="e">
        <f t="shared" si="24"/>
        <v>#DIV/0!</v>
      </c>
      <c r="CY6" s="7" t="e">
        <f t="shared" si="25"/>
        <v>#DIV/0!</v>
      </c>
      <c r="CZ6" s="7" t="e">
        <f t="shared" si="26"/>
        <v>#DIV/0!</v>
      </c>
      <c r="DA6" s="7">
        <f t="shared" si="78"/>
        <v>1</v>
      </c>
      <c r="DB6" s="7" t="e">
        <f t="shared" si="27"/>
        <v>#DIV/0!</v>
      </c>
      <c r="DC6" s="7" t="e">
        <f t="shared" si="28"/>
        <v>#DIV/0!</v>
      </c>
      <c r="DD6" s="7" t="e">
        <f t="shared" si="29"/>
        <v>#DIV/0!</v>
      </c>
      <c r="DE6" s="7">
        <f t="shared" si="79"/>
        <v>0</v>
      </c>
      <c r="DF6" s="7" t="e">
        <f t="shared" si="30"/>
        <v>#DIV/0!</v>
      </c>
      <c r="DG6" s="7" t="e">
        <f t="shared" si="31"/>
        <v>#DIV/0!</v>
      </c>
      <c r="DH6" s="7" t="e">
        <f t="shared" si="32"/>
        <v>#DIV/0!</v>
      </c>
      <c r="DI6" s="7">
        <f t="shared" si="80"/>
        <v>0</v>
      </c>
      <c r="DJ6" s="7" t="e">
        <f t="shared" si="33"/>
        <v>#DIV/0!</v>
      </c>
      <c r="DK6" s="7" t="e">
        <f t="shared" si="34"/>
        <v>#DIV/0!</v>
      </c>
      <c r="DL6" s="7" t="e">
        <f t="shared" si="35"/>
        <v>#DIV/0!</v>
      </c>
      <c r="DM6" s="7">
        <f t="shared" si="81"/>
        <v>0</v>
      </c>
      <c r="DN6" s="7" t="e">
        <f t="shared" si="36"/>
        <v>#DIV/0!</v>
      </c>
      <c r="DO6" s="7" t="e">
        <f t="shared" si="37"/>
        <v>#DIV/0!</v>
      </c>
      <c r="DP6" s="7" t="e">
        <f t="shared" si="38"/>
        <v>#DIV/0!</v>
      </c>
      <c r="DQ6" s="7">
        <f t="shared" si="82"/>
        <v>0</v>
      </c>
      <c r="DR6" s="7" t="e">
        <f t="shared" si="39"/>
        <v>#DIV/0!</v>
      </c>
      <c r="DS6" s="7" t="e">
        <f t="shared" si="40"/>
        <v>#DIV/0!</v>
      </c>
      <c r="DT6" s="7" t="e">
        <f t="shared" si="41"/>
        <v>#DIV/0!</v>
      </c>
      <c r="DU6" s="7">
        <f t="shared" si="83"/>
        <v>0</v>
      </c>
      <c r="DV6" s="7" t="e">
        <f t="shared" si="42"/>
        <v>#DIV/0!</v>
      </c>
      <c r="DW6" s="7" t="e">
        <f t="shared" si="43"/>
        <v>#DIV/0!</v>
      </c>
      <c r="DX6" s="7" t="e">
        <f t="shared" si="44"/>
        <v>#DIV/0!</v>
      </c>
      <c r="DY6" s="7">
        <f t="shared" si="84"/>
        <v>0</v>
      </c>
      <c r="DZ6" s="7" t="e">
        <f t="shared" si="45"/>
        <v>#DIV/0!</v>
      </c>
      <c r="EA6" s="7" t="e">
        <f t="shared" si="46"/>
        <v>#DIV/0!</v>
      </c>
      <c r="EB6" s="7" t="e">
        <f t="shared" si="47"/>
        <v>#DIV/0!</v>
      </c>
      <c r="EC6" s="7">
        <f t="shared" si="85"/>
        <v>0</v>
      </c>
      <c r="ED6" s="7" t="e">
        <f t="shared" si="48"/>
        <v>#DIV/0!</v>
      </c>
      <c r="EE6" s="7" t="e">
        <f t="shared" si="49"/>
        <v>#DIV/0!</v>
      </c>
      <c r="EF6" s="7" t="e">
        <f t="shared" si="50"/>
        <v>#DIV/0!</v>
      </c>
      <c r="EG6" s="7">
        <f t="shared" si="86"/>
        <v>0</v>
      </c>
      <c r="EH6" s="7" t="e">
        <f t="shared" si="51"/>
        <v>#DIV/0!</v>
      </c>
      <c r="EI6" s="7" t="e">
        <f t="shared" si="52"/>
        <v>#DIV/0!</v>
      </c>
      <c r="EJ6" s="7" t="e">
        <f t="shared" si="53"/>
        <v>#DIV/0!</v>
      </c>
      <c r="EK6" s="7">
        <f t="shared" si="87"/>
        <v>1</v>
      </c>
      <c r="EL6" s="7" t="e">
        <f t="shared" si="54"/>
        <v>#DIV/0!</v>
      </c>
      <c r="EM6" s="7"/>
      <c r="EN6" s="63">
        <f t="shared" si="88"/>
        <v>1</v>
      </c>
      <c r="EO6" s="63">
        <f t="shared" si="89"/>
        <v>0</v>
      </c>
      <c r="EP6" s="63" t="str">
        <f t="shared" ref="EP6:EP30" si="91">IF(OR($AQ6="Maincrop: Yield",$AQ6="Maincrop: Byproduct"),"1","0")</f>
        <v>0</v>
      </c>
      <c r="EQ6" s="63" t="str">
        <f t="shared" si="90"/>
        <v>1</v>
      </c>
    </row>
    <row r="7" spans="1:147" x14ac:dyDescent="0.25">
      <c r="B7" s="260" t="s">
        <v>379</v>
      </c>
      <c r="C7" s="261"/>
      <c r="D7" s="84" t="s">
        <v>33</v>
      </c>
      <c r="E7" s="84" t="s">
        <v>38</v>
      </c>
      <c r="F7" s="84" t="s">
        <v>28</v>
      </c>
      <c r="G7" s="84" t="s">
        <v>1</v>
      </c>
      <c r="H7" s="16"/>
      <c r="I7" s="6"/>
      <c r="J7" s="6"/>
      <c r="K7" s="6"/>
      <c r="L7" s="6"/>
      <c r="M7" s="19">
        <f t="shared" si="55"/>
        <v>0</v>
      </c>
      <c r="N7" s="19">
        <f t="shared" si="0"/>
        <v>0</v>
      </c>
      <c r="O7" s="9"/>
      <c r="P7" s="9" t="s">
        <v>120</v>
      </c>
      <c r="Q7" s="9" t="s">
        <v>212</v>
      </c>
      <c r="R7" s="9"/>
      <c r="U7" s="4">
        <f t="shared" si="56"/>
        <v>0</v>
      </c>
      <c r="AB7" s="5">
        <f t="shared" si="57"/>
        <v>0</v>
      </c>
      <c r="AC7" s="5">
        <f t="shared" si="58"/>
        <v>0</v>
      </c>
      <c r="AD7" s="5">
        <f t="shared" si="1"/>
        <v>0</v>
      </c>
      <c r="AE7" s="43">
        <f t="shared" si="2"/>
        <v>0</v>
      </c>
      <c r="AF7" s="3">
        <f t="shared" si="59"/>
        <v>0</v>
      </c>
      <c r="AG7" s="3">
        <f t="shared" si="60"/>
        <v>0</v>
      </c>
      <c r="AH7" s="3">
        <f t="shared" si="61"/>
        <v>0</v>
      </c>
      <c r="AI7" s="3">
        <f t="shared" si="62"/>
        <v>0</v>
      </c>
      <c r="AJ7" s="3">
        <f t="shared" si="63"/>
        <v>0</v>
      </c>
      <c r="AK7" s="3">
        <f t="shared" si="64"/>
        <v>0</v>
      </c>
      <c r="AL7" s="3">
        <f t="shared" si="65"/>
        <v>0</v>
      </c>
      <c r="AM7" s="3">
        <f t="shared" si="66"/>
        <v>0</v>
      </c>
      <c r="AN7" s="3">
        <f t="shared" si="67"/>
        <v>0</v>
      </c>
      <c r="AO7" s="54">
        <f t="shared" si="68"/>
        <v>0</v>
      </c>
      <c r="AQ7" t="s">
        <v>44</v>
      </c>
      <c r="AU7" s="104">
        <f t="shared" si="69"/>
        <v>0</v>
      </c>
      <c r="AV7" s="104">
        <f t="shared" si="3"/>
        <v>0</v>
      </c>
      <c r="AW7" s="79"/>
      <c r="AY7" s="10" t="e">
        <f t="shared" si="4"/>
        <v>#DIV/0!</v>
      </c>
      <c r="AZ7" s="10" t="e">
        <f t="shared" si="5"/>
        <v>#DIV/0!</v>
      </c>
      <c r="BA7" s="10" t="e">
        <f t="shared" si="6"/>
        <v>#DIV/0!</v>
      </c>
      <c r="BB7" s="10" t="e">
        <f t="shared" si="7"/>
        <v>#DIV/0!</v>
      </c>
      <c r="BC7" s="10" t="e">
        <f t="shared" si="8"/>
        <v>#DIV/0!</v>
      </c>
      <c r="BD7" s="10" t="e">
        <f t="shared" si="9"/>
        <v>#DIV/0!</v>
      </c>
      <c r="BE7" s="10" t="e">
        <f t="shared" si="10"/>
        <v>#DIV/0!</v>
      </c>
      <c r="BF7" s="10" t="e">
        <f t="shared" si="11"/>
        <v>#DIV/0!</v>
      </c>
      <c r="BG7" s="10" t="e">
        <f t="shared" si="12"/>
        <v>#DIV/0!</v>
      </c>
      <c r="BH7" s="10" t="e">
        <f t="shared" si="70"/>
        <v>#DIV/0!</v>
      </c>
      <c r="BI7" s="10"/>
      <c r="BJ7" s="10"/>
      <c r="BK7" s="10"/>
      <c r="BL7" s="10"/>
      <c r="BM7" s="10"/>
      <c r="BN7" s="113" t="e">
        <f>AR7/VLOOKUP(AP7,References!$A$3:$C$53,2,FALSE)</f>
        <v>#N/A</v>
      </c>
      <c r="BO7" s="113">
        <f t="shared" si="71"/>
        <v>0</v>
      </c>
      <c r="BP7" s="113" t="e">
        <f t="shared" si="13"/>
        <v>#DIV/0!</v>
      </c>
      <c r="BQ7" s="113">
        <f>((R7*(VLOOKUP(Q7,References!$A$57:$D$110,2,FALSE))%)+(S7*(VLOOKUP(Q7,References!$A$57:$D$110,2,FALSE))%)*(CW7+DA7+DM7))</f>
        <v>0</v>
      </c>
      <c r="BR7" s="113">
        <f>((R7*(VLOOKUP(Q7,References!$A$57:$D$110,3,FALSE))%)+(S7*(VLOOKUP(Q7,References!$A$57:$D$110,3,FALSE))%)*(CW7+DA7+DM7))</f>
        <v>0</v>
      </c>
      <c r="BS7" s="113">
        <f>((R7*(VLOOKUP(Q7,References!$A$57:$D$110,4,FALSE))%)+(S7*(VLOOKUP(Q7,References!$A$57:$D$110,4,FALSE))%)*(CW7+DA7+DM7))</f>
        <v>0</v>
      </c>
      <c r="BT7" s="10">
        <f>((((R7+S7)/100)*VLOOKUP(Q7,References!$A$58:$M$110,13,FALSE))*(CW7+DA7+DM7))</f>
        <v>0</v>
      </c>
      <c r="BU7" s="10" t="e">
        <f>(AR7/1000)*VLOOKUP(AP7,References!$A$4:$P$54,11,FALSE)</f>
        <v>#N/A</v>
      </c>
      <c r="BV7" s="10" t="e">
        <f>(AR7/1000)*VLOOKUP(AP7,References!$A$4:$P$54,12,FALSE)</f>
        <v>#N/A</v>
      </c>
      <c r="BW7" s="10" t="e">
        <f>(AR7/1000)*VLOOKUP(AP7,References!$A$4:$P$54,13,FALSE)</f>
        <v>#N/A</v>
      </c>
      <c r="BX7" s="113">
        <f t="shared" si="72"/>
        <v>0</v>
      </c>
      <c r="BY7" s="113">
        <f t="shared" si="73"/>
        <v>0</v>
      </c>
      <c r="BZ7" s="113">
        <f t="shared" si="74"/>
        <v>0</v>
      </c>
      <c r="CA7" s="113" t="e">
        <f t="shared" si="15"/>
        <v>#DIV/0!</v>
      </c>
      <c r="CB7" s="113" t="e">
        <f t="shared" si="16"/>
        <v>#DIV/0!</v>
      </c>
      <c r="CC7" s="113" t="e">
        <f t="shared" si="17"/>
        <v>#DIV/0!</v>
      </c>
      <c r="CD7" s="113" t="e">
        <f t="shared" si="18"/>
        <v>#DIV/0!</v>
      </c>
      <c r="CE7" s="113" t="e">
        <f t="shared" si="19"/>
        <v>#DIV/0!</v>
      </c>
      <c r="CF7" s="113" t="e">
        <f t="shared" si="20"/>
        <v>#DIV/0!</v>
      </c>
      <c r="CG7" s="113"/>
      <c r="CH7" s="113"/>
      <c r="CI7" s="113"/>
      <c r="CJ7" s="113"/>
      <c r="CK7" s="113"/>
      <c r="CL7" s="113"/>
      <c r="CM7" s="113" t="e">
        <f t="shared" si="21"/>
        <v>#DIV/0!</v>
      </c>
      <c r="CN7" s="113" t="e">
        <f>R7*VLOOKUP(Q7,References!$A$86:$E$158,2,FALSE)+S7*VLOOKUP(Q7,References!$A$86:$E$158,2,FALSE)</f>
        <v>#N/A</v>
      </c>
      <c r="CO7" s="113" t="e">
        <f>((VLOOKUP(Q7,References!$A$86:$E$158,3,FALSE)-(CN7/C$7))/(VLOOKUP(Q7,References!$A$86:$E$158,3,FALSE)))</f>
        <v>#N/A</v>
      </c>
      <c r="CP7" s="101" t="e">
        <f t="shared" si="75"/>
        <v>#N/A</v>
      </c>
      <c r="CQ7" s="113">
        <f t="shared" si="76"/>
        <v>0</v>
      </c>
      <c r="CR7" s="113">
        <f t="shared" si="22"/>
        <v>0</v>
      </c>
      <c r="CS7" s="113">
        <f t="shared" si="23"/>
        <v>0</v>
      </c>
      <c r="CT7" s="113"/>
      <c r="CU7" s="10"/>
      <c r="CV7" s="10"/>
      <c r="CW7" s="7">
        <f t="shared" si="77"/>
        <v>0</v>
      </c>
      <c r="CX7" s="7" t="e">
        <f t="shared" si="24"/>
        <v>#DIV/0!</v>
      </c>
      <c r="CY7" s="7" t="e">
        <f t="shared" si="25"/>
        <v>#DIV/0!</v>
      </c>
      <c r="CZ7" s="7" t="e">
        <f t="shared" si="26"/>
        <v>#DIV/0!</v>
      </c>
      <c r="DA7" s="7">
        <f t="shared" si="78"/>
        <v>0</v>
      </c>
      <c r="DB7" s="7" t="e">
        <f t="shared" si="27"/>
        <v>#DIV/0!</v>
      </c>
      <c r="DC7" s="7" t="e">
        <f t="shared" si="28"/>
        <v>#DIV/0!</v>
      </c>
      <c r="DD7" s="7" t="e">
        <f t="shared" si="29"/>
        <v>#DIV/0!</v>
      </c>
      <c r="DE7" s="7">
        <f t="shared" si="79"/>
        <v>1</v>
      </c>
      <c r="DF7" s="7" t="e">
        <f t="shared" si="30"/>
        <v>#DIV/0!</v>
      </c>
      <c r="DG7" s="7" t="e">
        <f t="shared" si="31"/>
        <v>#DIV/0!</v>
      </c>
      <c r="DH7" s="7" t="e">
        <f t="shared" si="32"/>
        <v>#DIV/0!</v>
      </c>
      <c r="DI7" s="7">
        <f t="shared" si="80"/>
        <v>0</v>
      </c>
      <c r="DJ7" s="7" t="e">
        <f t="shared" si="33"/>
        <v>#DIV/0!</v>
      </c>
      <c r="DK7" s="7" t="e">
        <f t="shared" si="34"/>
        <v>#DIV/0!</v>
      </c>
      <c r="DL7" s="7" t="e">
        <f t="shared" si="35"/>
        <v>#DIV/0!</v>
      </c>
      <c r="DM7" s="7">
        <f t="shared" si="81"/>
        <v>0</v>
      </c>
      <c r="DN7" s="7" t="e">
        <f t="shared" si="36"/>
        <v>#DIV/0!</v>
      </c>
      <c r="DO7" s="7" t="e">
        <f t="shared" si="37"/>
        <v>#DIV/0!</v>
      </c>
      <c r="DP7" s="7" t="e">
        <f t="shared" si="38"/>
        <v>#DIV/0!</v>
      </c>
      <c r="DQ7" s="7">
        <f t="shared" si="82"/>
        <v>0</v>
      </c>
      <c r="DR7" s="7" t="e">
        <f t="shared" si="39"/>
        <v>#DIV/0!</v>
      </c>
      <c r="DS7" s="7" t="e">
        <f t="shared" si="40"/>
        <v>#DIV/0!</v>
      </c>
      <c r="DT7" s="7" t="e">
        <f t="shared" si="41"/>
        <v>#DIV/0!</v>
      </c>
      <c r="DU7" s="7">
        <f t="shared" si="83"/>
        <v>0</v>
      </c>
      <c r="DV7" s="7" t="e">
        <f t="shared" si="42"/>
        <v>#DIV/0!</v>
      </c>
      <c r="DW7" s="7" t="e">
        <f t="shared" si="43"/>
        <v>#DIV/0!</v>
      </c>
      <c r="DX7" s="7" t="e">
        <f t="shared" si="44"/>
        <v>#DIV/0!</v>
      </c>
      <c r="DY7" s="7">
        <f t="shared" si="84"/>
        <v>0</v>
      </c>
      <c r="DZ7" s="7" t="e">
        <f t="shared" si="45"/>
        <v>#DIV/0!</v>
      </c>
      <c r="EA7" s="7" t="e">
        <f t="shared" si="46"/>
        <v>#DIV/0!</v>
      </c>
      <c r="EB7" s="7" t="e">
        <f t="shared" si="47"/>
        <v>#DIV/0!</v>
      </c>
      <c r="EC7" s="7">
        <f t="shared" si="85"/>
        <v>0</v>
      </c>
      <c r="ED7" s="7" t="e">
        <f t="shared" si="48"/>
        <v>#DIV/0!</v>
      </c>
      <c r="EE7" s="7" t="e">
        <f t="shared" si="49"/>
        <v>#DIV/0!</v>
      </c>
      <c r="EF7" s="7" t="e">
        <f t="shared" si="50"/>
        <v>#DIV/0!</v>
      </c>
      <c r="EG7" s="7">
        <f t="shared" si="86"/>
        <v>0</v>
      </c>
      <c r="EH7" s="7" t="e">
        <f t="shared" si="51"/>
        <v>#DIV/0!</v>
      </c>
      <c r="EI7" s="7" t="e">
        <f t="shared" si="52"/>
        <v>#DIV/0!</v>
      </c>
      <c r="EJ7" s="7" t="e">
        <f t="shared" si="53"/>
        <v>#DIV/0!</v>
      </c>
      <c r="EK7" s="7">
        <f t="shared" si="87"/>
        <v>1</v>
      </c>
      <c r="EL7" s="7" t="e">
        <f t="shared" si="54"/>
        <v>#DIV/0!</v>
      </c>
      <c r="EM7" s="7"/>
      <c r="EN7" s="63">
        <f t="shared" si="88"/>
        <v>1</v>
      </c>
      <c r="EO7" s="63">
        <f t="shared" si="89"/>
        <v>0</v>
      </c>
      <c r="EP7" s="63" t="str">
        <f t="shared" si="91"/>
        <v>0</v>
      </c>
      <c r="EQ7" s="63" t="str">
        <f t="shared" si="90"/>
        <v>1</v>
      </c>
    </row>
    <row r="8" spans="1:147" x14ac:dyDescent="0.25">
      <c r="A8" s="13"/>
      <c r="C8" s="8"/>
      <c r="D8" s="84" t="s">
        <v>33</v>
      </c>
      <c r="E8" s="84" t="s">
        <v>13</v>
      </c>
      <c r="F8" s="84" t="s">
        <v>28</v>
      </c>
      <c r="G8" s="84" t="s">
        <v>75</v>
      </c>
      <c r="H8" s="16"/>
      <c r="I8" s="6"/>
      <c r="J8" s="6"/>
      <c r="K8" s="6"/>
      <c r="L8" s="6"/>
      <c r="M8" s="19">
        <f t="shared" si="55"/>
        <v>0</v>
      </c>
      <c r="N8" s="19">
        <f t="shared" si="0"/>
        <v>0</v>
      </c>
      <c r="O8" s="9"/>
      <c r="P8" s="9" t="s">
        <v>98</v>
      </c>
      <c r="Q8" s="9" t="s">
        <v>212</v>
      </c>
      <c r="R8" s="9"/>
      <c r="U8" s="4">
        <f t="shared" si="56"/>
        <v>0</v>
      </c>
      <c r="AB8" s="5">
        <f t="shared" si="57"/>
        <v>0</v>
      </c>
      <c r="AC8" s="5">
        <f t="shared" si="58"/>
        <v>0</v>
      </c>
      <c r="AD8" s="5">
        <f t="shared" si="1"/>
        <v>0</v>
      </c>
      <c r="AE8" s="43">
        <f t="shared" si="2"/>
        <v>0</v>
      </c>
      <c r="AF8" s="3">
        <f t="shared" si="59"/>
        <v>0</v>
      </c>
      <c r="AG8" s="3">
        <f t="shared" si="60"/>
        <v>0</v>
      </c>
      <c r="AH8" s="3">
        <f t="shared" si="61"/>
        <v>0</v>
      </c>
      <c r="AI8" s="3">
        <f t="shared" si="62"/>
        <v>0</v>
      </c>
      <c r="AJ8" s="3">
        <f t="shared" si="63"/>
        <v>0</v>
      </c>
      <c r="AK8" s="3">
        <f t="shared" si="64"/>
        <v>0</v>
      </c>
      <c r="AL8" s="3">
        <f t="shared" si="65"/>
        <v>0</v>
      </c>
      <c r="AM8" s="3">
        <f t="shared" si="66"/>
        <v>0</v>
      </c>
      <c r="AN8" s="3">
        <f t="shared" si="67"/>
        <v>0</v>
      </c>
      <c r="AO8" s="54">
        <f t="shared" si="68"/>
        <v>0</v>
      </c>
      <c r="AQ8" t="s">
        <v>234</v>
      </c>
      <c r="AU8" s="104">
        <f t="shared" si="69"/>
        <v>0</v>
      </c>
      <c r="AV8" s="104">
        <f t="shared" si="3"/>
        <v>0</v>
      </c>
      <c r="AW8" s="79"/>
      <c r="AY8" s="10" t="e">
        <f t="shared" si="4"/>
        <v>#DIV/0!</v>
      </c>
      <c r="AZ8" s="10" t="e">
        <f t="shared" si="5"/>
        <v>#DIV/0!</v>
      </c>
      <c r="BA8" s="10" t="e">
        <f t="shared" si="6"/>
        <v>#DIV/0!</v>
      </c>
      <c r="BB8" s="10" t="e">
        <f t="shared" si="7"/>
        <v>#DIV/0!</v>
      </c>
      <c r="BC8" s="10" t="e">
        <f t="shared" si="8"/>
        <v>#DIV/0!</v>
      </c>
      <c r="BD8" s="10" t="e">
        <f t="shared" si="9"/>
        <v>#DIV/0!</v>
      </c>
      <c r="BE8" s="10" t="e">
        <f t="shared" si="10"/>
        <v>#DIV/0!</v>
      </c>
      <c r="BF8" s="10" t="e">
        <f t="shared" si="11"/>
        <v>#DIV/0!</v>
      </c>
      <c r="BG8" s="10" t="e">
        <f t="shared" si="12"/>
        <v>#DIV/0!</v>
      </c>
      <c r="BH8" s="10" t="e">
        <f t="shared" si="70"/>
        <v>#DIV/0!</v>
      </c>
      <c r="BI8" s="10"/>
      <c r="BJ8" s="10"/>
      <c r="BK8" s="10"/>
      <c r="BL8" s="10"/>
      <c r="BM8" s="10"/>
      <c r="BN8" s="113" t="e">
        <f>AR8/VLOOKUP(AP8,References!$A$3:$C$53,2,FALSE)</f>
        <v>#N/A</v>
      </c>
      <c r="BO8" s="113">
        <f t="shared" si="71"/>
        <v>0</v>
      </c>
      <c r="BP8" s="113" t="e">
        <f t="shared" si="13"/>
        <v>#DIV/0!</v>
      </c>
      <c r="BQ8" s="113">
        <f>((R8*(VLOOKUP(Q8,References!$A$57:$D$110,2,FALSE))%)+(S8*(VLOOKUP(Q8,References!$A$57:$D$110,2,FALSE))%)*(CW8+DA8+DM8))</f>
        <v>0</v>
      </c>
      <c r="BR8" s="113">
        <f>((R8*(VLOOKUP(Q8,References!$A$57:$D$110,3,FALSE))%)+(S8*(VLOOKUP(Q8,References!$A$57:$D$110,3,FALSE))%)*(CW8+DA8+DM8))</f>
        <v>0</v>
      </c>
      <c r="BS8" s="113">
        <f>((R8*(VLOOKUP(Q8,References!$A$57:$D$110,4,FALSE))%)+(S8*(VLOOKUP(Q8,References!$A$57:$D$110,4,FALSE))%)*(CW8+DA8+DM8))</f>
        <v>0</v>
      </c>
      <c r="BT8" s="10">
        <f>((((R8+S8)/100)*VLOOKUP(Q8,References!$A$58:$M$110,13,FALSE))*(CW8+DA8+DM8))</f>
        <v>0</v>
      </c>
      <c r="BU8" s="10" t="e">
        <f>(AR8/1000)*VLOOKUP(AP8,References!$A$4:$P$54,11,FALSE)</f>
        <v>#N/A</v>
      </c>
      <c r="BV8" s="10" t="e">
        <f>(AR8/1000)*VLOOKUP(AP8,References!$A$4:$P$54,12,FALSE)</f>
        <v>#N/A</v>
      </c>
      <c r="BW8" s="10" t="e">
        <f>(AR8/1000)*VLOOKUP(AP8,References!$A$4:$P$54,13,FALSE)</f>
        <v>#N/A</v>
      </c>
      <c r="BX8" s="113">
        <f t="shared" si="72"/>
        <v>0</v>
      </c>
      <c r="BY8" s="113">
        <f t="shared" si="73"/>
        <v>0</v>
      </c>
      <c r="BZ8" s="113">
        <f t="shared" si="74"/>
        <v>0</v>
      </c>
      <c r="CA8" s="113" t="e">
        <f t="shared" si="15"/>
        <v>#DIV/0!</v>
      </c>
      <c r="CB8" s="113" t="e">
        <f t="shared" si="16"/>
        <v>#DIV/0!</v>
      </c>
      <c r="CC8" s="113" t="e">
        <f t="shared" si="17"/>
        <v>#DIV/0!</v>
      </c>
      <c r="CD8" s="113" t="e">
        <f t="shared" si="18"/>
        <v>#DIV/0!</v>
      </c>
      <c r="CE8" s="113" t="e">
        <f t="shared" si="19"/>
        <v>#DIV/0!</v>
      </c>
      <c r="CF8" s="113" t="e">
        <f t="shared" si="20"/>
        <v>#DIV/0!</v>
      </c>
      <c r="CG8" s="113"/>
      <c r="CH8" s="113"/>
      <c r="CI8" s="113"/>
      <c r="CJ8" s="113"/>
      <c r="CK8" s="113"/>
      <c r="CL8" s="113"/>
      <c r="CM8" s="113" t="e">
        <f t="shared" si="21"/>
        <v>#DIV/0!</v>
      </c>
      <c r="CN8" s="113" t="e">
        <f>R8*VLOOKUP(Q8,References!$A$86:$E$158,2,FALSE)+S8*VLOOKUP(Q8,References!$A$86:$E$158,2,FALSE)</f>
        <v>#N/A</v>
      </c>
      <c r="CO8" s="113" t="e">
        <f>((VLOOKUP(Q8,References!$A$86:$E$158,3,FALSE)-(CN8/C$7))/(VLOOKUP(Q8,References!$A$86:$E$158,3,FALSE)))</f>
        <v>#N/A</v>
      </c>
      <c r="CP8" s="101" t="e">
        <f t="shared" si="75"/>
        <v>#N/A</v>
      </c>
      <c r="CQ8" s="113">
        <f t="shared" si="76"/>
        <v>0</v>
      </c>
      <c r="CR8" s="113">
        <f t="shared" si="22"/>
        <v>0</v>
      </c>
      <c r="CS8" s="113">
        <f t="shared" si="23"/>
        <v>0</v>
      </c>
      <c r="CT8" s="113"/>
      <c r="CU8" s="10"/>
      <c r="CV8" s="10"/>
      <c r="CW8" s="7">
        <f>IF($D8="Land preparation",1,0)</f>
        <v>0</v>
      </c>
      <c r="CX8" s="7" t="e">
        <f t="shared" si="24"/>
        <v>#DIV/0!</v>
      </c>
      <c r="CY8" s="7" t="e">
        <f t="shared" si="25"/>
        <v>#DIV/0!</v>
      </c>
      <c r="CZ8" s="7" t="e">
        <f t="shared" si="26"/>
        <v>#DIV/0!</v>
      </c>
      <c r="DA8" s="7">
        <f t="shared" si="78"/>
        <v>0</v>
      </c>
      <c r="DB8" s="7" t="e">
        <f t="shared" si="27"/>
        <v>#DIV/0!</v>
      </c>
      <c r="DC8" s="7" t="e">
        <f t="shared" si="28"/>
        <v>#DIV/0!</v>
      </c>
      <c r="DD8" s="7" t="e">
        <f t="shared" si="29"/>
        <v>#DIV/0!</v>
      </c>
      <c r="DE8" s="7">
        <f t="shared" si="79"/>
        <v>1</v>
      </c>
      <c r="DF8" s="7" t="e">
        <f t="shared" si="30"/>
        <v>#DIV/0!</v>
      </c>
      <c r="DG8" s="7" t="e">
        <f t="shared" si="31"/>
        <v>#DIV/0!</v>
      </c>
      <c r="DH8" s="7" t="e">
        <f t="shared" si="32"/>
        <v>#DIV/0!</v>
      </c>
      <c r="DI8" s="7">
        <f t="shared" si="80"/>
        <v>0</v>
      </c>
      <c r="DJ8" s="7" t="e">
        <f t="shared" si="33"/>
        <v>#DIV/0!</v>
      </c>
      <c r="DK8" s="7" t="e">
        <f t="shared" si="34"/>
        <v>#DIV/0!</v>
      </c>
      <c r="DL8" s="7" t="e">
        <f t="shared" si="35"/>
        <v>#DIV/0!</v>
      </c>
      <c r="DM8" s="7">
        <f t="shared" si="81"/>
        <v>0</v>
      </c>
      <c r="DN8" s="7" t="e">
        <f t="shared" si="36"/>
        <v>#DIV/0!</v>
      </c>
      <c r="DO8" s="7" t="e">
        <f t="shared" si="37"/>
        <v>#DIV/0!</v>
      </c>
      <c r="DP8" s="7" t="e">
        <f t="shared" si="38"/>
        <v>#DIV/0!</v>
      </c>
      <c r="DQ8" s="7">
        <f t="shared" si="82"/>
        <v>0</v>
      </c>
      <c r="DR8" s="7" t="e">
        <f t="shared" si="39"/>
        <v>#DIV/0!</v>
      </c>
      <c r="DS8" s="7" t="e">
        <f t="shared" si="40"/>
        <v>#DIV/0!</v>
      </c>
      <c r="DT8" s="7" t="e">
        <f t="shared" si="41"/>
        <v>#DIV/0!</v>
      </c>
      <c r="DU8" s="7">
        <f t="shared" si="83"/>
        <v>0</v>
      </c>
      <c r="DV8" s="7" t="e">
        <f t="shared" si="42"/>
        <v>#DIV/0!</v>
      </c>
      <c r="DW8" s="7" t="e">
        <f t="shared" si="43"/>
        <v>#DIV/0!</v>
      </c>
      <c r="DX8" s="7" t="e">
        <f t="shared" si="44"/>
        <v>#DIV/0!</v>
      </c>
      <c r="DY8" s="7">
        <f t="shared" si="84"/>
        <v>0</v>
      </c>
      <c r="DZ8" s="7" t="e">
        <f t="shared" si="45"/>
        <v>#DIV/0!</v>
      </c>
      <c r="EA8" s="7" t="e">
        <f t="shared" si="46"/>
        <v>#DIV/0!</v>
      </c>
      <c r="EB8" s="7" t="e">
        <f t="shared" si="47"/>
        <v>#DIV/0!</v>
      </c>
      <c r="EC8" s="7">
        <f t="shared" si="85"/>
        <v>0</v>
      </c>
      <c r="ED8" s="7" t="e">
        <f t="shared" si="48"/>
        <v>#DIV/0!</v>
      </c>
      <c r="EE8" s="7" t="e">
        <f t="shared" si="49"/>
        <v>#DIV/0!</v>
      </c>
      <c r="EF8" s="7" t="e">
        <f t="shared" si="50"/>
        <v>#DIV/0!</v>
      </c>
      <c r="EG8" s="7">
        <f t="shared" si="86"/>
        <v>0</v>
      </c>
      <c r="EH8" s="7" t="e">
        <f t="shared" si="51"/>
        <v>#DIV/0!</v>
      </c>
      <c r="EI8" s="7" t="e">
        <f t="shared" si="52"/>
        <v>#DIV/0!</v>
      </c>
      <c r="EJ8" s="7" t="e">
        <f t="shared" si="53"/>
        <v>#DIV/0!</v>
      </c>
      <c r="EK8" s="7">
        <f t="shared" si="87"/>
        <v>0</v>
      </c>
      <c r="EL8" s="7" t="e">
        <f t="shared" si="54"/>
        <v>#DIV/0!</v>
      </c>
      <c r="EM8" s="7"/>
      <c r="EN8" s="63">
        <f t="shared" si="88"/>
        <v>0</v>
      </c>
      <c r="EO8" s="63">
        <f t="shared" si="89"/>
        <v>1</v>
      </c>
      <c r="EP8" s="63" t="str">
        <f t="shared" si="91"/>
        <v>0</v>
      </c>
      <c r="EQ8" s="63" t="str">
        <f t="shared" si="90"/>
        <v>0</v>
      </c>
    </row>
    <row r="9" spans="1:147" x14ac:dyDescent="0.25">
      <c r="C9" s="8"/>
      <c r="D9" s="84" t="s">
        <v>33</v>
      </c>
      <c r="E9" s="84" t="s">
        <v>13</v>
      </c>
      <c r="F9" s="84" t="s">
        <v>28</v>
      </c>
      <c r="G9" s="84" t="s">
        <v>162</v>
      </c>
      <c r="H9" s="16"/>
      <c r="I9" s="6"/>
      <c r="J9" s="6"/>
      <c r="K9" s="6"/>
      <c r="L9" s="6"/>
      <c r="M9" s="19">
        <f t="shared" si="55"/>
        <v>0</v>
      </c>
      <c r="N9" s="19">
        <f t="shared" si="0"/>
        <v>0</v>
      </c>
      <c r="O9" s="9"/>
      <c r="P9" s="9" t="s">
        <v>98</v>
      </c>
      <c r="Q9" s="9" t="s">
        <v>212</v>
      </c>
      <c r="R9" s="9"/>
      <c r="U9" s="4">
        <f t="shared" si="56"/>
        <v>0</v>
      </c>
      <c r="AB9" s="5">
        <f t="shared" si="57"/>
        <v>0</v>
      </c>
      <c r="AC9" s="5">
        <f t="shared" si="58"/>
        <v>0</v>
      </c>
      <c r="AD9" s="5">
        <f t="shared" si="1"/>
        <v>0</v>
      </c>
      <c r="AE9" s="43">
        <f t="shared" si="2"/>
        <v>0</v>
      </c>
      <c r="AF9" s="3">
        <f t="shared" si="59"/>
        <v>0</v>
      </c>
      <c r="AG9" s="3">
        <f t="shared" si="60"/>
        <v>0</v>
      </c>
      <c r="AH9" s="3">
        <f t="shared" si="61"/>
        <v>0</v>
      </c>
      <c r="AI9" s="3">
        <f t="shared" si="62"/>
        <v>0</v>
      </c>
      <c r="AJ9" s="3">
        <f t="shared" si="63"/>
        <v>0</v>
      </c>
      <c r="AK9" s="3">
        <f t="shared" si="64"/>
        <v>0</v>
      </c>
      <c r="AL9" s="3">
        <f t="shared" si="65"/>
        <v>0</v>
      </c>
      <c r="AM9" s="3">
        <f t="shared" si="66"/>
        <v>0</v>
      </c>
      <c r="AN9" s="3">
        <f t="shared" si="67"/>
        <v>0</v>
      </c>
      <c r="AO9" s="54">
        <f t="shared" si="68"/>
        <v>0</v>
      </c>
      <c r="AQ9" t="s">
        <v>234</v>
      </c>
      <c r="AU9" s="104">
        <f t="shared" si="69"/>
        <v>0</v>
      </c>
      <c r="AV9" s="104">
        <f t="shared" si="3"/>
        <v>0</v>
      </c>
      <c r="AW9" s="79"/>
      <c r="AY9" s="10" t="e">
        <f t="shared" si="4"/>
        <v>#DIV/0!</v>
      </c>
      <c r="AZ9" s="10" t="e">
        <f t="shared" si="5"/>
        <v>#DIV/0!</v>
      </c>
      <c r="BA9" s="10" t="e">
        <f t="shared" si="6"/>
        <v>#DIV/0!</v>
      </c>
      <c r="BB9" s="10" t="e">
        <f t="shared" si="7"/>
        <v>#DIV/0!</v>
      </c>
      <c r="BC9" s="10" t="e">
        <f t="shared" si="8"/>
        <v>#DIV/0!</v>
      </c>
      <c r="BD9" s="10" t="e">
        <f t="shared" si="9"/>
        <v>#DIV/0!</v>
      </c>
      <c r="BE9" s="10" t="e">
        <f t="shared" si="10"/>
        <v>#DIV/0!</v>
      </c>
      <c r="BF9" s="10" t="e">
        <f t="shared" si="11"/>
        <v>#DIV/0!</v>
      </c>
      <c r="BG9" s="10" t="e">
        <f t="shared" si="12"/>
        <v>#DIV/0!</v>
      </c>
      <c r="BH9" s="10" t="e">
        <f t="shared" si="70"/>
        <v>#DIV/0!</v>
      </c>
      <c r="BI9" s="10"/>
      <c r="BJ9" s="10"/>
      <c r="BK9" s="10"/>
      <c r="BL9" s="10"/>
      <c r="BM9" s="10"/>
      <c r="BN9" s="113" t="e">
        <f>AR9/VLOOKUP(AP9,References!$A$3:$C$53,2,FALSE)</f>
        <v>#N/A</v>
      </c>
      <c r="BO9" s="113">
        <f t="shared" si="71"/>
        <v>0</v>
      </c>
      <c r="BP9" s="113" t="e">
        <f t="shared" si="13"/>
        <v>#DIV/0!</v>
      </c>
      <c r="BQ9" s="113">
        <f>((R9*(VLOOKUP(Q9,References!$A$57:$D$110,2,FALSE))%)+(S9*(VLOOKUP(Q9,References!$A$57:$D$110,2,FALSE))%)*(CW9+DA9+DM9))</f>
        <v>0</v>
      </c>
      <c r="BR9" s="113">
        <f>((R9*(VLOOKUP(Q9,References!$A$57:$D$110,3,FALSE))%)+(S9*(VLOOKUP(Q9,References!$A$57:$D$110,3,FALSE))%)*(CW9+DA9+DM9))</f>
        <v>0</v>
      </c>
      <c r="BS9" s="113">
        <f>((R9*(VLOOKUP(Q9,References!$A$57:$D$110,4,FALSE))%)+(S9*(VLOOKUP(Q9,References!$A$57:$D$110,4,FALSE))%)*(CW9+DA9+DM9))</f>
        <v>0</v>
      </c>
      <c r="BT9" s="10">
        <f>((((R9+S9)/100)*VLOOKUP(Q9,References!$A$58:$M$110,13,FALSE))*(CW9+DA9+DM9))</f>
        <v>0</v>
      </c>
      <c r="BU9" s="10" t="e">
        <f>(AR9/1000)*VLOOKUP(AP9,References!$A$4:$P$54,11,FALSE)</f>
        <v>#N/A</v>
      </c>
      <c r="BV9" s="10" t="e">
        <f>(AR9/1000)*VLOOKUP(AP9,References!$A$4:$P$54,12,FALSE)</f>
        <v>#N/A</v>
      </c>
      <c r="BW9" s="10" t="e">
        <f>(AR9/1000)*VLOOKUP(AP9,References!$A$4:$P$54,13,FALSE)</f>
        <v>#N/A</v>
      </c>
      <c r="BX9" s="113">
        <f t="shared" si="72"/>
        <v>0</v>
      </c>
      <c r="BY9" s="113">
        <f t="shared" si="73"/>
        <v>0</v>
      </c>
      <c r="BZ9" s="113">
        <f t="shared" si="74"/>
        <v>0</v>
      </c>
      <c r="CA9" s="113" t="e">
        <f t="shared" si="15"/>
        <v>#DIV/0!</v>
      </c>
      <c r="CB9" s="113" t="e">
        <f t="shared" si="16"/>
        <v>#DIV/0!</v>
      </c>
      <c r="CC9" s="113" t="e">
        <f t="shared" si="17"/>
        <v>#DIV/0!</v>
      </c>
      <c r="CD9" s="113" t="e">
        <f t="shared" si="18"/>
        <v>#DIV/0!</v>
      </c>
      <c r="CE9" s="113" t="e">
        <f t="shared" si="19"/>
        <v>#DIV/0!</v>
      </c>
      <c r="CF9" s="113" t="e">
        <f t="shared" si="20"/>
        <v>#DIV/0!</v>
      </c>
      <c r="CG9" s="113"/>
      <c r="CH9" s="113"/>
      <c r="CI9" s="113"/>
      <c r="CJ9" s="113"/>
      <c r="CK9" s="113"/>
      <c r="CL9" s="113"/>
      <c r="CM9" s="113" t="e">
        <f t="shared" si="21"/>
        <v>#DIV/0!</v>
      </c>
      <c r="CN9" s="113" t="e">
        <f>R9*VLOOKUP(Q9,References!$A$86:$E$158,2,FALSE)+S9*VLOOKUP(Q9,References!$A$86:$E$158,2,FALSE)</f>
        <v>#N/A</v>
      </c>
      <c r="CO9" s="113" t="e">
        <f>((VLOOKUP(Q9,References!$A$86:$E$158,3,FALSE)-(CN9/C$7))/(VLOOKUP(Q9,References!$A$86:$E$158,3,FALSE)))</f>
        <v>#N/A</v>
      </c>
      <c r="CP9" s="101" t="e">
        <f t="shared" si="75"/>
        <v>#N/A</v>
      </c>
      <c r="CQ9" s="113">
        <f t="shared" si="76"/>
        <v>0</v>
      </c>
      <c r="CR9" s="113">
        <f t="shared" si="22"/>
        <v>0</v>
      </c>
      <c r="CS9" s="113">
        <f t="shared" si="23"/>
        <v>0</v>
      </c>
      <c r="CT9" s="113"/>
      <c r="CU9" s="10"/>
      <c r="CV9" s="10"/>
      <c r="CW9" s="7">
        <f t="shared" si="77"/>
        <v>0</v>
      </c>
      <c r="CX9" s="7" t="e">
        <f t="shared" si="24"/>
        <v>#DIV/0!</v>
      </c>
      <c r="CY9" s="7" t="e">
        <f t="shared" si="25"/>
        <v>#DIV/0!</v>
      </c>
      <c r="CZ9" s="7" t="e">
        <f t="shared" si="26"/>
        <v>#DIV/0!</v>
      </c>
      <c r="DA9" s="7">
        <f t="shared" si="78"/>
        <v>0</v>
      </c>
      <c r="DB9" s="7" t="e">
        <f t="shared" si="27"/>
        <v>#DIV/0!</v>
      </c>
      <c r="DC9" s="7" t="e">
        <f t="shared" si="28"/>
        <v>#DIV/0!</v>
      </c>
      <c r="DD9" s="7" t="e">
        <f t="shared" si="29"/>
        <v>#DIV/0!</v>
      </c>
      <c r="DE9" s="7">
        <f t="shared" si="79"/>
        <v>1</v>
      </c>
      <c r="DF9" s="7" t="e">
        <f t="shared" si="30"/>
        <v>#DIV/0!</v>
      </c>
      <c r="DG9" s="7" t="e">
        <f t="shared" si="31"/>
        <v>#DIV/0!</v>
      </c>
      <c r="DH9" s="7" t="e">
        <f t="shared" si="32"/>
        <v>#DIV/0!</v>
      </c>
      <c r="DI9" s="7">
        <f t="shared" si="80"/>
        <v>0</v>
      </c>
      <c r="DJ9" s="7" t="e">
        <f t="shared" si="33"/>
        <v>#DIV/0!</v>
      </c>
      <c r="DK9" s="7" t="e">
        <f t="shared" si="34"/>
        <v>#DIV/0!</v>
      </c>
      <c r="DL9" s="7" t="e">
        <f t="shared" si="35"/>
        <v>#DIV/0!</v>
      </c>
      <c r="DM9" s="7">
        <f t="shared" si="81"/>
        <v>0</v>
      </c>
      <c r="DN9" s="7" t="e">
        <f t="shared" si="36"/>
        <v>#DIV/0!</v>
      </c>
      <c r="DO9" s="7" t="e">
        <f t="shared" si="37"/>
        <v>#DIV/0!</v>
      </c>
      <c r="DP9" s="7" t="e">
        <f t="shared" si="38"/>
        <v>#DIV/0!</v>
      </c>
      <c r="DQ9" s="7">
        <f t="shared" si="82"/>
        <v>0</v>
      </c>
      <c r="DR9" s="7" t="e">
        <f t="shared" si="39"/>
        <v>#DIV/0!</v>
      </c>
      <c r="DS9" s="7" t="e">
        <f t="shared" si="40"/>
        <v>#DIV/0!</v>
      </c>
      <c r="DT9" s="7" t="e">
        <f t="shared" si="41"/>
        <v>#DIV/0!</v>
      </c>
      <c r="DU9" s="7">
        <f t="shared" si="83"/>
        <v>0</v>
      </c>
      <c r="DV9" s="7" t="e">
        <f t="shared" si="42"/>
        <v>#DIV/0!</v>
      </c>
      <c r="DW9" s="7" t="e">
        <f t="shared" si="43"/>
        <v>#DIV/0!</v>
      </c>
      <c r="DX9" s="7" t="e">
        <f t="shared" si="44"/>
        <v>#DIV/0!</v>
      </c>
      <c r="DY9" s="7">
        <f t="shared" si="84"/>
        <v>0</v>
      </c>
      <c r="DZ9" s="7" t="e">
        <f t="shared" si="45"/>
        <v>#DIV/0!</v>
      </c>
      <c r="EA9" s="7" t="e">
        <f t="shared" si="46"/>
        <v>#DIV/0!</v>
      </c>
      <c r="EB9" s="7" t="e">
        <f t="shared" si="47"/>
        <v>#DIV/0!</v>
      </c>
      <c r="EC9" s="7">
        <f t="shared" si="85"/>
        <v>0</v>
      </c>
      <c r="ED9" s="7" t="e">
        <f t="shared" si="48"/>
        <v>#DIV/0!</v>
      </c>
      <c r="EE9" s="7" t="e">
        <f t="shared" si="49"/>
        <v>#DIV/0!</v>
      </c>
      <c r="EF9" s="7" t="e">
        <f t="shared" si="50"/>
        <v>#DIV/0!</v>
      </c>
      <c r="EG9" s="7">
        <f t="shared" si="86"/>
        <v>0</v>
      </c>
      <c r="EH9" s="7" t="e">
        <f t="shared" si="51"/>
        <v>#DIV/0!</v>
      </c>
      <c r="EI9" s="7" t="e">
        <f t="shared" si="52"/>
        <v>#DIV/0!</v>
      </c>
      <c r="EJ9" s="7" t="e">
        <f t="shared" si="53"/>
        <v>#DIV/0!</v>
      </c>
      <c r="EK9" s="7">
        <f t="shared" si="87"/>
        <v>0</v>
      </c>
      <c r="EL9" s="7" t="e">
        <f t="shared" si="54"/>
        <v>#DIV/0!</v>
      </c>
      <c r="EM9" s="7"/>
      <c r="EN9" s="63">
        <f t="shared" si="88"/>
        <v>0</v>
      </c>
      <c r="EO9" s="63">
        <f t="shared" si="89"/>
        <v>1</v>
      </c>
      <c r="EP9" s="63" t="str">
        <f t="shared" si="91"/>
        <v>0</v>
      </c>
      <c r="EQ9" s="63" t="str">
        <f t="shared" si="90"/>
        <v>0</v>
      </c>
    </row>
    <row r="10" spans="1:147" x14ac:dyDescent="0.25">
      <c r="A10" s="13"/>
      <c r="B10" s="2"/>
      <c r="C10" s="9"/>
      <c r="D10" s="84" t="s">
        <v>6</v>
      </c>
      <c r="E10" s="84" t="s">
        <v>38</v>
      </c>
      <c r="F10" s="84" t="s">
        <v>26</v>
      </c>
      <c r="G10" s="84" t="s">
        <v>1</v>
      </c>
      <c r="H10" s="16"/>
      <c r="I10" s="6"/>
      <c r="J10" s="6"/>
      <c r="K10" s="6"/>
      <c r="L10" s="6"/>
      <c r="M10" s="19">
        <f t="shared" si="55"/>
        <v>0</v>
      </c>
      <c r="N10" s="19">
        <f t="shared" si="0"/>
        <v>0</v>
      </c>
      <c r="O10" s="9"/>
      <c r="P10" s="9" t="s">
        <v>98</v>
      </c>
      <c r="Q10" s="9" t="s">
        <v>215</v>
      </c>
      <c r="R10" s="9"/>
      <c r="U10" s="4">
        <f t="shared" si="56"/>
        <v>0</v>
      </c>
      <c r="AB10" s="5">
        <f t="shared" si="57"/>
        <v>0</v>
      </c>
      <c r="AC10" s="5">
        <f t="shared" si="58"/>
        <v>0</v>
      </c>
      <c r="AD10" s="5">
        <f t="shared" si="1"/>
        <v>0</v>
      </c>
      <c r="AE10" s="43">
        <f t="shared" si="2"/>
        <v>0</v>
      </c>
      <c r="AF10" s="3">
        <f t="shared" si="59"/>
        <v>0</v>
      </c>
      <c r="AG10" s="3">
        <f t="shared" si="60"/>
        <v>0</v>
      </c>
      <c r="AH10" s="3">
        <f t="shared" si="61"/>
        <v>0</v>
      </c>
      <c r="AI10" s="3">
        <f t="shared" si="62"/>
        <v>0</v>
      </c>
      <c r="AJ10" s="3">
        <f t="shared" si="63"/>
        <v>0</v>
      </c>
      <c r="AK10" s="3">
        <f t="shared" si="64"/>
        <v>0</v>
      </c>
      <c r="AL10" s="3">
        <f t="shared" si="65"/>
        <v>0</v>
      </c>
      <c r="AM10" s="3">
        <f t="shared" si="66"/>
        <v>0</v>
      </c>
      <c r="AN10" s="3">
        <f t="shared" si="67"/>
        <v>0</v>
      </c>
      <c r="AO10" s="54">
        <f t="shared" si="68"/>
        <v>0</v>
      </c>
      <c r="AQ10" t="s">
        <v>42</v>
      </c>
      <c r="AU10" s="104">
        <f t="shared" si="69"/>
        <v>0</v>
      </c>
      <c r="AV10" s="104">
        <f t="shared" si="3"/>
        <v>0</v>
      </c>
      <c r="AW10" s="79"/>
      <c r="AY10" s="10" t="e">
        <f t="shared" si="4"/>
        <v>#DIV/0!</v>
      </c>
      <c r="AZ10" s="10" t="e">
        <f t="shared" si="5"/>
        <v>#DIV/0!</v>
      </c>
      <c r="BA10" s="10" t="e">
        <f t="shared" si="6"/>
        <v>#DIV/0!</v>
      </c>
      <c r="BB10" s="10" t="e">
        <f t="shared" si="7"/>
        <v>#DIV/0!</v>
      </c>
      <c r="BC10" s="10" t="e">
        <f t="shared" si="8"/>
        <v>#DIV/0!</v>
      </c>
      <c r="BD10" s="10" t="e">
        <f t="shared" si="9"/>
        <v>#DIV/0!</v>
      </c>
      <c r="BE10" s="10" t="e">
        <f t="shared" si="10"/>
        <v>#DIV/0!</v>
      </c>
      <c r="BF10" s="10" t="e">
        <f t="shared" si="11"/>
        <v>#DIV/0!</v>
      </c>
      <c r="BG10" s="10" t="e">
        <f t="shared" si="12"/>
        <v>#DIV/0!</v>
      </c>
      <c r="BH10" s="10" t="e">
        <f t="shared" si="70"/>
        <v>#DIV/0!</v>
      </c>
      <c r="BI10" s="10"/>
      <c r="BJ10" s="10"/>
      <c r="BK10" s="10"/>
      <c r="BL10" s="10"/>
      <c r="BM10" s="10"/>
      <c r="BN10" s="113" t="e">
        <f>AR10/VLOOKUP(AP10,References!$A$3:$C$53,2,FALSE)</f>
        <v>#N/A</v>
      </c>
      <c r="BO10" s="113">
        <f t="shared" si="71"/>
        <v>0</v>
      </c>
      <c r="BP10" s="113" t="e">
        <f t="shared" si="13"/>
        <v>#DIV/0!</v>
      </c>
      <c r="BQ10" s="113">
        <f>((R10*(VLOOKUP(Q10,References!$A$57:$D$110,2,FALSE))%)+(S10*(VLOOKUP(Q10,References!$A$57:$D$110,2,FALSE))%)*(CW10+DA10+DM10))</f>
        <v>0</v>
      </c>
      <c r="BR10" s="113">
        <f>((R10*(VLOOKUP(Q10,References!$A$57:$D$110,3,FALSE))%)+(S10*(VLOOKUP(Q10,References!$A$57:$D$110,3,FALSE))%)*(CW10+DA10+DM10))</f>
        <v>0</v>
      </c>
      <c r="BS10" s="113">
        <f>((R10*(VLOOKUP(Q10,References!$A$57:$D$110,4,FALSE))%)+(S10*(VLOOKUP(Q10,References!$A$57:$D$110,4,FALSE))%)*(CW10+DA10+DM10))</f>
        <v>0</v>
      </c>
      <c r="BT10" s="10">
        <f>((((R10+S10)/100)*VLOOKUP(Q10,References!$A$58:$M$110,13,FALSE))*(CW10+DA10+DM10))</f>
        <v>0</v>
      </c>
      <c r="BU10" s="10" t="e">
        <f>(AR10/1000)*VLOOKUP(AP10,References!$A$4:$P$54,11,FALSE)</f>
        <v>#N/A</v>
      </c>
      <c r="BV10" s="10" t="e">
        <f>(AR10/1000)*VLOOKUP(AP10,References!$A$4:$P$54,12,FALSE)</f>
        <v>#N/A</v>
      </c>
      <c r="BW10" s="10" t="e">
        <f>(AR10/1000)*VLOOKUP(AP10,References!$A$4:$P$54,13,FALSE)</f>
        <v>#N/A</v>
      </c>
      <c r="BX10" s="113">
        <f t="shared" si="72"/>
        <v>0</v>
      </c>
      <c r="BY10" s="113">
        <f t="shared" si="73"/>
        <v>0</v>
      </c>
      <c r="BZ10" s="113">
        <f t="shared" si="74"/>
        <v>0</v>
      </c>
      <c r="CA10" s="113" t="e">
        <f t="shared" si="15"/>
        <v>#DIV/0!</v>
      </c>
      <c r="CB10" s="113" t="e">
        <f t="shared" si="16"/>
        <v>#DIV/0!</v>
      </c>
      <c r="CC10" s="113" t="e">
        <f t="shared" si="17"/>
        <v>#DIV/0!</v>
      </c>
      <c r="CD10" s="113" t="e">
        <f t="shared" si="18"/>
        <v>#DIV/0!</v>
      </c>
      <c r="CE10" s="113" t="e">
        <f t="shared" si="19"/>
        <v>#DIV/0!</v>
      </c>
      <c r="CF10" s="113" t="e">
        <f t="shared" si="20"/>
        <v>#DIV/0!</v>
      </c>
      <c r="CG10" s="113"/>
      <c r="CH10" s="113"/>
      <c r="CI10" s="113"/>
      <c r="CJ10" s="113"/>
      <c r="CK10" s="113"/>
      <c r="CL10" s="113"/>
      <c r="CM10" s="113" t="e">
        <f t="shared" si="21"/>
        <v>#DIV/0!</v>
      </c>
      <c r="CN10" s="113" t="e">
        <f>R10*VLOOKUP(Q10,References!$A$86:$E$158,2,FALSE)+S10*VLOOKUP(Q10,References!$A$86:$E$158,2,FALSE)</f>
        <v>#N/A</v>
      </c>
      <c r="CO10" s="113" t="e">
        <f>((VLOOKUP(Q10,References!$A$86:$E$158,3,FALSE)-(CN10/C$7))/(VLOOKUP(Q10,References!$A$86:$E$158,3,FALSE)))</f>
        <v>#N/A</v>
      </c>
      <c r="CP10" s="101" t="e">
        <f t="shared" si="75"/>
        <v>#N/A</v>
      </c>
      <c r="CQ10" s="113">
        <f t="shared" si="76"/>
        <v>0</v>
      </c>
      <c r="CR10" s="113">
        <f t="shared" si="22"/>
        <v>0</v>
      </c>
      <c r="CS10" s="113">
        <f t="shared" si="23"/>
        <v>0</v>
      </c>
      <c r="CT10" s="113"/>
      <c r="CU10" s="10"/>
      <c r="CV10" s="10"/>
      <c r="CW10" s="7">
        <f t="shared" si="77"/>
        <v>0</v>
      </c>
      <c r="CX10" s="7" t="e">
        <f t="shared" si="24"/>
        <v>#DIV/0!</v>
      </c>
      <c r="CY10" s="7" t="e">
        <f t="shared" si="25"/>
        <v>#DIV/0!</v>
      </c>
      <c r="CZ10" s="7" t="e">
        <f t="shared" si="26"/>
        <v>#DIV/0!</v>
      </c>
      <c r="DA10" s="7">
        <f t="shared" si="78"/>
        <v>0</v>
      </c>
      <c r="DB10" s="7" t="e">
        <f t="shared" si="27"/>
        <v>#DIV/0!</v>
      </c>
      <c r="DC10" s="7" t="e">
        <f t="shared" si="28"/>
        <v>#DIV/0!</v>
      </c>
      <c r="DD10" s="7" t="e">
        <f t="shared" si="29"/>
        <v>#DIV/0!</v>
      </c>
      <c r="DE10" s="7">
        <f t="shared" si="79"/>
        <v>0</v>
      </c>
      <c r="DF10" s="7" t="e">
        <f t="shared" si="30"/>
        <v>#DIV/0!</v>
      </c>
      <c r="DG10" s="7" t="e">
        <f t="shared" si="31"/>
        <v>#DIV/0!</v>
      </c>
      <c r="DH10" s="7" t="e">
        <f t="shared" si="32"/>
        <v>#DIV/0!</v>
      </c>
      <c r="DI10" s="7">
        <f t="shared" si="80"/>
        <v>0</v>
      </c>
      <c r="DJ10" s="7" t="e">
        <f t="shared" si="33"/>
        <v>#DIV/0!</v>
      </c>
      <c r="DK10" s="7" t="e">
        <f t="shared" si="34"/>
        <v>#DIV/0!</v>
      </c>
      <c r="DL10" s="7" t="e">
        <f t="shared" si="35"/>
        <v>#DIV/0!</v>
      </c>
      <c r="DM10" s="7">
        <f t="shared" si="81"/>
        <v>1</v>
      </c>
      <c r="DN10" s="7" t="e">
        <f t="shared" si="36"/>
        <v>#DIV/0!</v>
      </c>
      <c r="DO10" s="7" t="e">
        <f t="shared" si="37"/>
        <v>#DIV/0!</v>
      </c>
      <c r="DP10" s="7" t="e">
        <f t="shared" si="38"/>
        <v>#DIV/0!</v>
      </c>
      <c r="DQ10" s="7">
        <f t="shared" si="82"/>
        <v>0</v>
      </c>
      <c r="DR10" s="7" t="e">
        <f t="shared" si="39"/>
        <v>#DIV/0!</v>
      </c>
      <c r="DS10" s="7" t="e">
        <f t="shared" si="40"/>
        <v>#DIV/0!</v>
      </c>
      <c r="DT10" s="7" t="e">
        <f t="shared" si="41"/>
        <v>#DIV/0!</v>
      </c>
      <c r="DU10" s="7">
        <f t="shared" si="83"/>
        <v>0</v>
      </c>
      <c r="DV10" s="7" t="e">
        <f t="shared" si="42"/>
        <v>#DIV/0!</v>
      </c>
      <c r="DW10" s="7" t="e">
        <f t="shared" si="43"/>
        <v>#DIV/0!</v>
      </c>
      <c r="DX10" s="7" t="e">
        <f t="shared" si="44"/>
        <v>#DIV/0!</v>
      </c>
      <c r="DY10" s="7">
        <f t="shared" si="84"/>
        <v>0</v>
      </c>
      <c r="DZ10" s="7" t="e">
        <f t="shared" si="45"/>
        <v>#DIV/0!</v>
      </c>
      <c r="EA10" s="7" t="e">
        <f t="shared" si="46"/>
        <v>#DIV/0!</v>
      </c>
      <c r="EB10" s="7" t="e">
        <f t="shared" si="47"/>
        <v>#DIV/0!</v>
      </c>
      <c r="EC10" s="7">
        <f t="shared" si="85"/>
        <v>0</v>
      </c>
      <c r="ED10" s="7" t="e">
        <f t="shared" si="48"/>
        <v>#DIV/0!</v>
      </c>
      <c r="EE10" s="7" t="e">
        <f t="shared" si="49"/>
        <v>#DIV/0!</v>
      </c>
      <c r="EF10" s="7" t="e">
        <f t="shared" si="50"/>
        <v>#DIV/0!</v>
      </c>
      <c r="EG10" s="7">
        <f t="shared" si="86"/>
        <v>0</v>
      </c>
      <c r="EH10" s="7" t="e">
        <f t="shared" si="51"/>
        <v>#DIV/0!</v>
      </c>
      <c r="EI10" s="7" t="e">
        <f t="shared" si="52"/>
        <v>#DIV/0!</v>
      </c>
      <c r="EJ10" s="7" t="e">
        <f t="shared" si="53"/>
        <v>#DIV/0!</v>
      </c>
      <c r="EK10" s="7">
        <f t="shared" si="87"/>
        <v>0</v>
      </c>
      <c r="EL10" s="7" t="e">
        <f t="shared" si="54"/>
        <v>#DIV/0!</v>
      </c>
      <c r="EM10" s="7"/>
      <c r="EN10" s="63">
        <f t="shared" si="88"/>
        <v>1</v>
      </c>
      <c r="EO10" s="63">
        <f t="shared" si="89"/>
        <v>0</v>
      </c>
      <c r="EP10" s="63" t="str">
        <f t="shared" si="91"/>
        <v>1</v>
      </c>
      <c r="EQ10" s="63" t="str">
        <f t="shared" si="90"/>
        <v>0</v>
      </c>
    </row>
    <row r="11" spans="1:147" x14ac:dyDescent="0.25">
      <c r="A11" s="13"/>
      <c r="B11" s="2"/>
      <c r="C11" s="9"/>
      <c r="D11" s="84" t="s">
        <v>23</v>
      </c>
      <c r="E11" s="84" t="s">
        <v>38</v>
      </c>
      <c r="F11" s="84" t="s">
        <v>29</v>
      </c>
      <c r="G11" s="84" t="s">
        <v>1</v>
      </c>
      <c r="H11" s="16"/>
      <c r="I11" s="6"/>
      <c r="J11" s="6"/>
      <c r="K11" s="6"/>
      <c r="L11" s="6"/>
      <c r="M11" s="19">
        <f t="shared" si="55"/>
        <v>0</v>
      </c>
      <c r="N11" s="19">
        <f t="shared" si="0"/>
        <v>0</v>
      </c>
      <c r="O11" s="9"/>
      <c r="P11" s="9" t="s">
        <v>120</v>
      </c>
      <c r="Q11" s="9" t="s">
        <v>228</v>
      </c>
      <c r="R11" s="9"/>
      <c r="U11" s="4">
        <f t="shared" si="56"/>
        <v>0</v>
      </c>
      <c r="AB11" s="5">
        <f t="shared" si="57"/>
        <v>0</v>
      </c>
      <c r="AC11" s="5">
        <f t="shared" si="58"/>
        <v>0</v>
      </c>
      <c r="AD11" s="5">
        <f t="shared" si="1"/>
        <v>0</v>
      </c>
      <c r="AE11" s="43">
        <f t="shared" si="2"/>
        <v>0</v>
      </c>
      <c r="AF11" s="3">
        <f t="shared" si="59"/>
        <v>0</v>
      </c>
      <c r="AG11" s="3">
        <f t="shared" si="60"/>
        <v>0</v>
      </c>
      <c r="AH11" s="3">
        <f t="shared" si="61"/>
        <v>0</v>
      </c>
      <c r="AI11" s="3">
        <f t="shared" si="62"/>
        <v>0</v>
      </c>
      <c r="AJ11" s="3">
        <f t="shared" si="63"/>
        <v>0</v>
      </c>
      <c r="AK11" s="3">
        <f t="shared" si="64"/>
        <v>0</v>
      </c>
      <c r="AL11" s="3">
        <f t="shared" si="65"/>
        <v>0</v>
      </c>
      <c r="AM11" s="3">
        <f t="shared" si="66"/>
        <v>0</v>
      </c>
      <c r="AN11" s="3">
        <f t="shared" si="67"/>
        <v>0</v>
      </c>
      <c r="AO11" s="54">
        <f t="shared" si="68"/>
        <v>0</v>
      </c>
      <c r="AQ11" t="s">
        <v>42</v>
      </c>
      <c r="AU11" s="104">
        <f t="shared" si="69"/>
        <v>0</v>
      </c>
      <c r="AV11" s="104">
        <f t="shared" si="3"/>
        <v>0</v>
      </c>
      <c r="AW11" s="79"/>
      <c r="AY11" s="10" t="e">
        <f t="shared" si="4"/>
        <v>#DIV/0!</v>
      </c>
      <c r="AZ11" s="10" t="e">
        <f t="shared" si="5"/>
        <v>#DIV/0!</v>
      </c>
      <c r="BA11" s="10" t="e">
        <f t="shared" si="6"/>
        <v>#DIV/0!</v>
      </c>
      <c r="BB11" s="10" t="e">
        <f t="shared" si="7"/>
        <v>#DIV/0!</v>
      </c>
      <c r="BC11" s="10" t="e">
        <f t="shared" si="8"/>
        <v>#DIV/0!</v>
      </c>
      <c r="BD11" s="10" t="e">
        <f t="shared" si="9"/>
        <v>#DIV/0!</v>
      </c>
      <c r="BE11" s="10" t="e">
        <f t="shared" si="10"/>
        <v>#DIV/0!</v>
      </c>
      <c r="BF11" s="10" t="e">
        <f t="shared" si="11"/>
        <v>#DIV/0!</v>
      </c>
      <c r="BG11" s="10" t="e">
        <f t="shared" si="12"/>
        <v>#DIV/0!</v>
      </c>
      <c r="BH11" s="10" t="e">
        <f t="shared" si="70"/>
        <v>#DIV/0!</v>
      </c>
      <c r="BI11" s="10"/>
      <c r="BJ11" s="10"/>
      <c r="BK11" s="10"/>
      <c r="BL11" s="10"/>
      <c r="BM11" s="10"/>
      <c r="BN11" s="113" t="e">
        <f>AR11/VLOOKUP(AP11,References!$A$3:$C$53,2,FALSE)</f>
        <v>#N/A</v>
      </c>
      <c r="BO11" s="113">
        <f t="shared" si="71"/>
        <v>0</v>
      </c>
      <c r="BP11" s="113" t="e">
        <f t="shared" si="13"/>
        <v>#DIV/0!</v>
      </c>
      <c r="BQ11" s="113">
        <f>((R11*(VLOOKUP(Q11,References!$A$57:$D$110,2,FALSE))%)+(S11*(VLOOKUP(Q11,References!$A$57:$D$110,2,FALSE))%)*(CW11+DA11+DM11))</f>
        <v>0</v>
      </c>
      <c r="BR11" s="113">
        <f>((R11*(VLOOKUP(Q11,References!$A$57:$D$110,3,FALSE))%)+(S11*(VLOOKUP(Q11,References!$A$57:$D$110,3,FALSE))%)*(CW11+DA11+DM11))</f>
        <v>0</v>
      </c>
      <c r="BS11" s="113">
        <f>((R11*(VLOOKUP(Q11,References!$A$57:$D$110,4,FALSE))%)+(S11*(VLOOKUP(Q11,References!$A$57:$D$110,4,FALSE))%)*(CW11+DA11+DM11))</f>
        <v>0</v>
      </c>
      <c r="BT11" s="10">
        <f>((((R11+S11)/100)*VLOOKUP(Q11,References!$A$58:$M$110,13,FALSE))*(CW11+DA11+DM11))</f>
        <v>0</v>
      </c>
      <c r="BU11" s="10" t="e">
        <f>(AR11/1000)*VLOOKUP(AP11,References!$A$4:$P$54,11,FALSE)</f>
        <v>#N/A</v>
      </c>
      <c r="BV11" s="10" t="e">
        <f>(AR11/1000)*VLOOKUP(AP11,References!$A$4:$P$54,12,FALSE)</f>
        <v>#N/A</v>
      </c>
      <c r="BW11" s="10" t="e">
        <f>(AR11/1000)*VLOOKUP(AP11,References!$A$4:$P$54,13,FALSE)</f>
        <v>#N/A</v>
      </c>
      <c r="BX11" s="113">
        <f t="shared" si="72"/>
        <v>0</v>
      </c>
      <c r="BY11" s="113">
        <f t="shared" si="73"/>
        <v>0</v>
      </c>
      <c r="BZ11" s="113">
        <f t="shared" si="74"/>
        <v>0</v>
      </c>
      <c r="CA11" s="113" t="e">
        <f t="shared" si="15"/>
        <v>#DIV/0!</v>
      </c>
      <c r="CB11" s="113" t="e">
        <f t="shared" si="16"/>
        <v>#DIV/0!</v>
      </c>
      <c r="CC11" s="113" t="e">
        <f t="shared" si="17"/>
        <v>#DIV/0!</v>
      </c>
      <c r="CD11" s="113" t="e">
        <f t="shared" si="18"/>
        <v>#DIV/0!</v>
      </c>
      <c r="CE11" s="113" t="e">
        <f t="shared" si="19"/>
        <v>#DIV/0!</v>
      </c>
      <c r="CF11" s="113" t="e">
        <f t="shared" si="20"/>
        <v>#DIV/0!</v>
      </c>
      <c r="CG11" s="113"/>
      <c r="CH11" s="113"/>
      <c r="CI11" s="113"/>
      <c r="CJ11" s="113"/>
      <c r="CK11" s="113"/>
      <c r="CL11" s="113"/>
      <c r="CM11" s="113" t="e">
        <f t="shared" si="21"/>
        <v>#DIV/0!</v>
      </c>
      <c r="CN11" s="113" t="e">
        <f>R11*VLOOKUP(Q11,References!$A$86:$E$158,2,FALSE)+S11*VLOOKUP(Q11,References!$A$86:$E$158,2,FALSE)</f>
        <v>#N/A</v>
      </c>
      <c r="CO11" s="113" t="e">
        <f>((VLOOKUP(Q11,References!$A$86:$E$158,3,FALSE)-(CN11/C$7))/(VLOOKUP(Q11,References!$A$86:$E$158,3,FALSE)))</f>
        <v>#N/A</v>
      </c>
      <c r="CP11" s="101" t="e">
        <f t="shared" si="75"/>
        <v>#N/A</v>
      </c>
      <c r="CQ11" s="113">
        <f t="shared" si="76"/>
        <v>0</v>
      </c>
      <c r="CR11" s="113">
        <f t="shared" si="22"/>
        <v>0</v>
      </c>
      <c r="CS11" s="113">
        <f t="shared" si="23"/>
        <v>0</v>
      </c>
      <c r="CT11" s="113"/>
      <c r="CU11" s="10"/>
      <c r="CV11" s="10"/>
      <c r="CW11" s="7">
        <f t="shared" si="77"/>
        <v>0</v>
      </c>
      <c r="CX11" s="7" t="e">
        <f t="shared" si="24"/>
        <v>#DIV/0!</v>
      </c>
      <c r="CY11" s="7" t="e">
        <f t="shared" si="25"/>
        <v>#DIV/0!</v>
      </c>
      <c r="CZ11" s="7" t="e">
        <f t="shared" si="26"/>
        <v>#DIV/0!</v>
      </c>
      <c r="DA11" s="7">
        <f t="shared" si="78"/>
        <v>0</v>
      </c>
      <c r="DB11" s="7" t="e">
        <f t="shared" si="27"/>
        <v>#DIV/0!</v>
      </c>
      <c r="DC11" s="7" t="e">
        <f t="shared" si="28"/>
        <v>#DIV/0!</v>
      </c>
      <c r="DD11" s="7" t="e">
        <f t="shared" si="29"/>
        <v>#DIV/0!</v>
      </c>
      <c r="DE11" s="7">
        <f t="shared" si="79"/>
        <v>0</v>
      </c>
      <c r="DF11" s="7" t="e">
        <f t="shared" si="30"/>
        <v>#DIV/0!</v>
      </c>
      <c r="DG11" s="7" t="e">
        <f t="shared" si="31"/>
        <v>#DIV/0!</v>
      </c>
      <c r="DH11" s="7" t="e">
        <f t="shared" si="32"/>
        <v>#DIV/0!</v>
      </c>
      <c r="DI11" s="7">
        <f t="shared" si="80"/>
        <v>0</v>
      </c>
      <c r="DJ11" s="7" t="e">
        <f t="shared" si="33"/>
        <v>#DIV/0!</v>
      </c>
      <c r="DK11" s="7" t="e">
        <f t="shared" si="34"/>
        <v>#DIV/0!</v>
      </c>
      <c r="DL11" s="7" t="e">
        <f t="shared" si="35"/>
        <v>#DIV/0!</v>
      </c>
      <c r="DM11" s="7">
        <f t="shared" si="81"/>
        <v>0</v>
      </c>
      <c r="DN11" s="7" t="e">
        <f t="shared" si="36"/>
        <v>#DIV/0!</v>
      </c>
      <c r="DO11" s="7" t="e">
        <f t="shared" si="37"/>
        <v>#DIV/0!</v>
      </c>
      <c r="DP11" s="7" t="e">
        <f t="shared" si="38"/>
        <v>#DIV/0!</v>
      </c>
      <c r="DQ11" s="7">
        <f t="shared" si="82"/>
        <v>1</v>
      </c>
      <c r="DR11" s="7" t="e">
        <f t="shared" si="39"/>
        <v>#DIV/0!</v>
      </c>
      <c r="DS11" s="7" t="e">
        <f t="shared" si="40"/>
        <v>#DIV/0!</v>
      </c>
      <c r="DT11" s="7" t="e">
        <f t="shared" si="41"/>
        <v>#DIV/0!</v>
      </c>
      <c r="DU11" s="7">
        <f t="shared" si="83"/>
        <v>0</v>
      </c>
      <c r="DV11" s="7" t="e">
        <f t="shared" si="42"/>
        <v>#DIV/0!</v>
      </c>
      <c r="DW11" s="7" t="e">
        <f t="shared" si="43"/>
        <v>#DIV/0!</v>
      </c>
      <c r="DX11" s="7" t="e">
        <f t="shared" si="44"/>
        <v>#DIV/0!</v>
      </c>
      <c r="DY11" s="7">
        <f t="shared" si="84"/>
        <v>0</v>
      </c>
      <c r="DZ11" s="7" t="e">
        <f t="shared" si="45"/>
        <v>#DIV/0!</v>
      </c>
      <c r="EA11" s="7" t="e">
        <f t="shared" si="46"/>
        <v>#DIV/0!</v>
      </c>
      <c r="EB11" s="7" t="e">
        <f t="shared" si="47"/>
        <v>#DIV/0!</v>
      </c>
      <c r="EC11" s="7">
        <f t="shared" si="85"/>
        <v>0</v>
      </c>
      <c r="ED11" s="7" t="e">
        <f t="shared" si="48"/>
        <v>#DIV/0!</v>
      </c>
      <c r="EE11" s="7" t="e">
        <f t="shared" si="49"/>
        <v>#DIV/0!</v>
      </c>
      <c r="EF11" s="7" t="e">
        <f t="shared" si="50"/>
        <v>#DIV/0!</v>
      </c>
      <c r="EG11" s="7">
        <f t="shared" si="86"/>
        <v>0</v>
      </c>
      <c r="EH11" s="7" t="e">
        <f t="shared" si="51"/>
        <v>#DIV/0!</v>
      </c>
      <c r="EI11" s="7" t="e">
        <f t="shared" si="52"/>
        <v>#DIV/0!</v>
      </c>
      <c r="EJ11" s="7" t="e">
        <f t="shared" si="53"/>
        <v>#DIV/0!</v>
      </c>
      <c r="EK11" s="7">
        <f t="shared" si="87"/>
        <v>1</v>
      </c>
      <c r="EL11" s="7" t="e">
        <f t="shared" si="54"/>
        <v>#DIV/0!</v>
      </c>
      <c r="EM11" s="7"/>
      <c r="EN11" s="63">
        <f t="shared" si="88"/>
        <v>1</v>
      </c>
      <c r="EO11" s="63">
        <f t="shared" si="89"/>
        <v>0</v>
      </c>
      <c r="EP11" s="63" t="str">
        <f t="shared" si="91"/>
        <v>1</v>
      </c>
      <c r="EQ11" s="63" t="str">
        <f t="shared" si="90"/>
        <v>0</v>
      </c>
    </row>
    <row r="12" spans="1:147" x14ac:dyDescent="0.25">
      <c r="A12" s="13"/>
      <c r="B12" s="2"/>
      <c r="C12" s="9"/>
      <c r="D12" s="84" t="s">
        <v>23</v>
      </c>
      <c r="E12" s="84" t="s">
        <v>38</v>
      </c>
      <c r="F12" s="84" t="s">
        <v>29</v>
      </c>
      <c r="G12" s="84" t="s">
        <v>1</v>
      </c>
      <c r="H12" s="16"/>
      <c r="I12" s="6"/>
      <c r="J12" s="6"/>
      <c r="K12" s="6"/>
      <c r="L12" s="6"/>
      <c r="M12" s="19">
        <f t="shared" si="55"/>
        <v>0</v>
      </c>
      <c r="N12" s="19">
        <f t="shared" si="0"/>
        <v>0</v>
      </c>
      <c r="O12" s="9"/>
      <c r="P12" s="9" t="s">
        <v>120</v>
      </c>
      <c r="Q12" s="9" t="s">
        <v>170</v>
      </c>
      <c r="R12" s="9"/>
      <c r="U12" s="4">
        <f t="shared" si="56"/>
        <v>0</v>
      </c>
      <c r="AB12" s="5">
        <f t="shared" si="57"/>
        <v>0</v>
      </c>
      <c r="AC12" s="5">
        <f t="shared" si="58"/>
        <v>0</v>
      </c>
      <c r="AD12" s="5">
        <f t="shared" si="1"/>
        <v>0</v>
      </c>
      <c r="AE12" s="43">
        <f t="shared" si="2"/>
        <v>0</v>
      </c>
      <c r="AF12" s="3">
        <f t="shared" si="59"/>
        <v>0</v>
      </c>
      <c r="AG12" s="3">
        <f t="shared" si="60"/>
        <v>0</v>
      </c>
      <c r="AH12" s="3">
        <f t="shared" si="61"/>
        <v>0</v>
      </c>
      <c r="AI12" s="3">
        <f t="shared" si="62"/>
        <v>0</v>
      </c>
      <c r="AJ12" s="3">
        <f t="shared" si="63"/>
        <v>0</v>
      </c>
      <c r="AK12" s="3">
        <f t="shared" si="64"/>
        <v>0</v>
      </c>
      <c r="AL12" s="3">
        <f t="shared" si="65"/>
        <v>0</v>
      </c>
      <c r="AM12" s="3">
        <f t="shared" si="66"/>
        <v>0</v>
      </c>
      <c r="AN12" s="3">
        <f t="shared" si="67"/>
        <v>0</v>
      </c>
      <c r="AO12" s="54">
        <f t="shared" si="68"/>
        <v>0</v>
      </c>
      <c r="AQ12" t="s">
        <v>42</v>
      </c>
      <c r="AU12" s="104">
        <f t="shared" si="69"/>
        <v>0</v>
      </c>
      <c r="AV12" s="104">
        <f t="shared" si="3"/>
        <v>0</v>
      </c>
      <c r="AW12" s="79"/>
      <c r="AY12" s="10" t="e">
        <f t="shared" si="4"/>
        <v>#DIV/0!</v>
      </c>
      <c r="AZ12" s="10" t="e">
        <f t="shared" si="5"/>
        <v>#DIV/0!</v>
      </c>
      <c r="BA12" s="10" t="e">
        <f t="shared" si="6"/>
        <v>#DIV/0!</v>
      </c>
      <c r="BB12" s="10" t="e">
        <f t="shared" si="7"/>
        <v>#DIV/0!</v>
      </c>
      <c r="BC12" s="10" t="e">
        <f t="shared" si="8"/>
        <v>#DIV/0!</v>
      </c>
      <c r="BD12" s="10" t="e">
        <f t="shared" si="9"/>
        <v>#DIV/0!</v>
      </c>
      <c r="BE12" s="10" t="e">
        <f t="shared" si="10"/>
        <v>#DIV/0!</v>
      </c>
      <c r="BF12" s="10" t="e">
        <f t="shared" si="11"/>
        <v>#DIV/0!</v>
      </c>
      <c r="BG12" s="10" t="e">
        <f t="shared" si="12"/>
        <v>#DIV/0!</v>
      </c>
      <c r="BH12" s="10" t="e">
        <f t="shared" si="70"/>
        <v>#DIV/0!</v>
      </c>
      <c r="BI12" s="10"/>
      <c r="BJ12" s="10"/>
      <c r="BK12" s="10"/>
      <c r="BL12" s="10"/>
      <c r="BM12" s="10"/>
      <c r="BN12" s="113" t="e">
        <f>AR12/VLOOKUP(AP12,References!$A$3:$C$53,2,FALSE)</f>
        <v>#N/A</v>
      </c>
      <c r="BO12" s="113">
        <f t="shared" si="71"/>
        <v>0</v>
      </c>
      <c r="BP12" s="113" t="e">
        <f t="shared" si="13"/>
        <v>#DIV/0!</v>
      </c>
      <c r="BQ12" s="113">
        <f>((R12*(VLOOKUP(Q12,References!$A$57:$D$110,2,FALSE))%)+(S12*(VLOOKUP(Q12,References!$A$57:$D$110,2,FALSE))%)*(CW12+DA12+DM12))</f>
        <v>0</v>
      </c>
      <c r="BR12" s="113">
        <f>((R12*(VLOOKUP(Q12,References!$A$57:$D$110,3,FALSE))%)+(S12*(VLOOKUP(Q12,References!$A$57:$D$110,3,FALSE))%)*(CW12+DA12+DM12))</f>
        <v>0</v>
      </c>
      <c r="BS12" s="113">
        <f>((R12*(VLOOKUP(Q12,References!$A$57:$D$110,4,FALSE))%)+(S12*(VLOOKUP(Q12,References!$A$57:$D$110,4,FALSE))%)*(CW12+DA12+DM12))</f>
        <v>0</v>
      </c>
      <c r="BT12" s="10">
        <f>((((R12+S12)/100)*VLOOKUP(Q12,References!$A$58:$M$110,13,FALSE))*(CW12+DA12+DM12))</f>
        <v>0</v>
      </c>
      <c r="BU12" s="10" t="e">
        <f>(AR12/1000)*VLOOKUP(AP12,References!$A$4:$P$54,11,FALSE)</f>
        <v>#N/A</v>
      </c>
      <c r="BV12" s="10" t="e">
        <f>(AR12/1000)*VLOOKUP(AP12,References!$A$4:$P$54,12,FALSE)</f>
        <v>#N/A</v>
      </c>
      <c r="BW12" s="10" t="e">
        <f>(AR12/1000)*VLOOKUP(AP12,References!$A$4:$P$54,13,FALSE)</f>
        <v>#N/A</v>
      </c>
      <c r="BX12" s="113">
        <f t="shared" si="72"/>
        <v>0</v>
      </c>
      <c r="BY12" s="113">
        <f t="shared" si="73"/>
        <v>0</v>
      </c>
      <c r="BZ12" s="113">
        <f t="shared" si="74"/>
        <v>0</v>
      </c>
      <c r="CA12" s="113" t="e">
        <f t="shared" si="15"/>
        <v>#DIV/0!</v>
      </c>
      <c r="CB12" s="113" t="e">
        <f t="shared" si="16"/>
        <v>#DIV/0!</v>
      </c>
      <c r="CC12" s="113" t="e">
        <f t="shared" si="17"/>
        <v>#DIV/0!</v>
      </c>
      <c r="CD12" s="113" t="e">
        <f t="shared" si="18"/>
        <v>#DIV/0!</v>
      </c>
      <c r="CE12" s="113" t="e">
        <f t="shared" si="19"/>
        <v>#DIV/0!</v>
      </c>
      <c r="CF12" s="113" t="e">
        <f t="shared" si="20"/>
        <v>#DIV/0!</v>
      </c>
      <c r="CG12" s="113"/>
      <c r="CH12" s="113"/>
      <c r="CI12" s="113"/>
      <c r="CJ12" s="113"/>
      <c r="CK12" s="113"/>
      <c r="CL12" s="113"/>
      <c r="CM12" s="113" t="e">
        <f t="shared" si="21"/>
        <v>#DIV/0!</v>
      </c>
      <c r="CN12" s="113" t="e">
        <f>R12*VLOOKUP(Q12,References!$A$86:$E$158,2,FALSE)+S12*VLOOKUP(Q12,References!$A$86:$E$158,2,FALSE)</f>
        <v>#N/A</v>
      </c>
      <c r="CO12" s="113" t="e">
        <f>((VLOOKUP(Q12,References!$A$86:$E$158,3,FALSE)-(CN12/C$7))/(VLOOKUP(Q12,References!$A$86:$E$158,3,FALSE)))</f>
        <v>#N/A</v>
      </c>
      <c r="CP12" s="101" t="e">
        <f t="shared" si="75"/>
        <v>#N/A</v>
      </c>
      <c r="CQ12" s="113">
        <f t="shared" si="76"/>
        <v>0</v>
      </c>
      <c r="CR12" s="113">
        <f t="shared" si="22"/>
        <v>0</v>
      </c>
      <c r="CS12" s="113">
        <f t="shared" si="23"/>
        <v>0</v>
      </c>
      <c r="CT12" s="113"/>
      <c r="CU12" s="10"/>
      <c r="CV12" s="10"/>
      <c r="CW12" s="7">
        <f t="shared" si="77"/>
        <v>0</v>
      </c>
      <c r="CX12" s="7" t="e">
        <f t="shared" si="24"/>
        <v>#DIV/0!</v>
      </c>
      <c r="CY12" s="7" t="e">
        <f t="shared" si="25"/>
        <v>#DIV/0!</v>
      </c>
      <c r="CZ12" s="7" t="e">
        <f t="shared" si="26"/>
        <v>#DIV/0!</v>
      </c>
      <c r="DA12" s="7">
        <f t="shared" si="78"/>
        <v>0</v>
      </c>
      <c r="DB12" s="7" t="e">
        <f t="shared" si="27"/>
        <v>#DIV/0!</v>
      </c>
      <c r="DC12" s="7" t="e">
        <f t="shared" si="28"/>
        <v>#DIV/0!</v>
      </c>
      <c r="DD12" s="7" t="e">
        <f t="shared" si="29"/>
        <v>#DIV/0!</v>
      </c>
      <c r="DE12" s="7">
        <f t="shared" si="79"/>
        <v>0</v>
      </c>
      <c r="DF12" s="7" t="e">
        <f t="shared" si="30"/>
        <v>#DIV/0!</v>
      </c>
      <c r="DG12" s="7" t="e">
        <f t="shared" si="31"/>
        <v>#DIV/0!</v>
      </c>
      <c r="DH12" s="7" t="e">
        <f t="shared" si="32"/>
        <v>#DIV/0!</v>
      </c>
      <c r="DI12" s="7">
        <f t="shared" si="80"/>
        <v>0</v>
      </c>
      <c r="DJ12" s="7" t="e">
        <f t="shared" si="33"/>
        <v>#DIV/0!</v>
      </c>
      <c r="DK12" s="7" t="e">
        <f t="shared" si="34"/>
        <v>#DIV/0!</v>
      </c>
      <c r="DL12" s="7" t="e">
        <f t="shared" si="35"/>
        <v>#DIV/0!</v>
      </c>
      <c r="DM12" s="7">
        <f t="shared" si="81"/>
        <v>0</v>
      </c>
      <c r="DN12" s="7" t="e">
        <f t="shared" si="36"/>
        <v>#DIV/0!</v>
      </c>
      <c r="DO12" s="7" t="e">
        <f t="shared" si="37"/>
        <v>#DIV/0!</v>
      </c>
      <c r="DP12" s="7" t="e">
        <f t="shared" si="38"/>
        <v>#DIV/0!</v>
      </c>
      <c r="DQ12" s="7">
        <f t="shared" si="82"/>
        <v>1</v>
      </c>
      <c r="DR12" s="7" t="e">
        <f t="shared" si="39"/>
        <v>#DIV/0!</v>
      </c>
      <c r="DS12" s="7" t="e">
        <f t="shared" si="40"/>
        <v>#DIV/0!</v>
      </c>
      <c r="DT12" s="7" t="e">
        <f t="shared" si="41"/>
        <v>#DIV/0!</v>
      </c>
      <c r="DU12" s="7">
        <f t="shared" si="83"/>
        <v>0</v>
      </c>
      <c r="DV12" s="7" t="e">
        <f t="shared" si="42"/>
        <v>#DIV/0!</v>
      </c>
      <c r="DW12" s="7" t="e">
        <f t="shared" si="43"/>
        <v>#DIV/0!</v>
      </c>
      <c r="DX12" s="7" t="e">
        <f t="shared" si="44"/>
        <v>#DIV/0!</v>
      </c>
      <c r="DY12" s="7">
        <f t="shared" si="84"/>
        <v>0</v>
      </c>
      <c r="DZ12" s="7" t="e">
        <f t="shared" si="45"/>
        <v>#DIV/0!</v>
      </c>
      <c r="EA12" s="7" t="e">
        <f t="shared" si="46"/>
        <v>#DIV/0!</v>
      </c>
      <c r="EB12" s="7" t="e">
        <f t="shared" si="47"/>
        <v>#DIV/0!</v>
      </c>
      <c r="EC12" s="7">
        <f t="shared" si="85"/>
        <v>0</v>
      </c>
      <c r="ED12" s="7" t="e">
        <f t="shared" si="48"/>
        <v>#DIV/0!</v>
      </c>
      <c r="EE12" s="7" t="e">
        <f t="shared" si="49"/>
        <v>#DIV/0!</v>
      </c>
      <c r="EF12" s="7" t="e">
        <f t="shared" si="50"/>
        <v>#DIV/0!</v>
      </c>
      <c r="EG12" s="7">
        <f t="shared" si="86"/>
        <v>0</v>
      </c>
      <c r="EH12" s="7" t="e">
        <f t="shared" si="51"/>
        <v>#DIV/0!</v>
      </c>
      <c r="EI12" s="7" t="e">
        <f t="shared" si="52"/>
        <v>#DIV/0!</v>
      </c>
      <c r="EJ12" s="7" t="e">
        <f t="shared" si="53"/>
        <v>#DIV/0!</v>
      </c>
      <c r="EK12" s="7">
        <f t="shared" si="87"/>
        <v>1</v>
      </c>
      <c r="EL12" s="7" t="e">
        <f t="shared" si="54"/>
        <v>#DIV/0!</v>
      </c>
      <c r="EM12" s="7"/>
      <c r="EN12" s="63">
        <f t="shared" si="88"/>
        <v>1</v>
      </c>
      <c r="EO12" s="63">
        <f t="shared" si="89"/>
        <v>0</v>
      </c>
      <c r="EP12" s="63" t="str">
        <f t="shared" si="91"/>
        <v>1</v>
      </c>
      <c r="EQ12" s="63" t="str">
        <f t="shared" si="90"/>
        <v>0</v>
      </c>
    </row>
    <row r="13" spans="1:147" x14ac:dyDescent="0.25">
      <c r="A13" s="13"/>
      <c r="B13" s="2"/>
      <c r="C13" s="9"/>
      <c r="D13" s="84" t="s">
        <v>7</v>
      </c>
      <c r="E13" s="84" t="s">
        <v>38</v>
      </c>
      <c r="F13" s="84" t="s">
        <v>62</v>
      </c>
      <c r="G13" s="84" t="s">
        <v>1</v>
      </c>
      <c r="H13" s="16"/>
      <c r="I13" s="6"/>
      <c r="J13" s="6"/>
      <c r="K13" s="6"/>
      <c r="L13" s="6"/>
      <c r="M13" s="19">
        <f t="shared" si="55"/>
        <v>0</v>
      </c>
      <c r="N13" s="19">
        <f t="shared" si="0"/>
        <v>0</v>
      </c>
      <c r="O13" s="9"/>
      <c r="P13" s="9" t="s">
        <v>120</v>
      </c>
      <c r="Q13" s="9" t="s">
        <v>239</v>
      </c>
      <c r="R13" s="9"/>
      <c r="U13" s="4">
        <f t="shared" si="56"/>
        <v>0</v>
      </c>
      <c r="AB13" s="5">
        <f t="shared" si="57"/>
        <v>0</v>
      </c>
      <c r="AC13" s="5">
        <f t="shared" si="58"/>
        <v>0</v>
      </c>
      <c r="AD13" s="5">
        <f t="shared" si="1"/>
        <v>0</v>
      </c>
      <c r="AE13" s="43">
        <f t="shared" si="2"/>
        <v>0</v>
      </c>
      <c r="AF13" s="3">
        <f t="shared" si="59"/>
        <v>0</v>
      </c>
      <c r="AG13" s="3">
        <f t="shared" si="60"/>
        <v>0</v>
      </c>
      <c r="AH13" s="3">
        <f t="shared" si="61"/>
        <v>0</v>
      </c>
      <c r="AI13" s="3">
        <f t="shared" si="62"/>
        <v>0</v>
      </c>
      <c r="AJ13" s="3">
        <f t="shared" si="63"/>
        <v>0</v>
      </c>
      <c r="AK13" s="3">
        <f t="shared" si="64"/>
        <v>0</v>
      </c>
      <c r="AL13" s="3">
        <f t="shared" si="65"/>
        <v>0</v>
      </c>
      <c r="AM13" s="3">
        <f t="shared" si="66"/>
        <v>0</v>
      </c>
      <c r="AN13" s="3">
        <f t="shared" si="67"/>
        <v>0</v>
      </c>
      <c r="AO13" s="54">
        <f t="shared" si="68"/>
        <v>0</v>
      </c>
      <c r="AQ13" t="s">
        <v>42</v>
      </c>
      <c r="AU13" s="104">
        <f t="shared" si="69"/>
        <v>0</v>
      </c>
      <c r="AV13" s="104">
        <f t="shared" si="3"/>
        <v>0</v>
      </c>
      <c r="AW13" s="79"/>
      <c r="AY13" s="10" t="e">
        <f t="shared" si="4"/>
        <v>#DIV/0!</v>
      </c>
      <c r="AZ13" s="10" t="e">
        <f t="shared" si="5"/>
        <v>#DIV/0!</v>
      </c>
      <c r="BA13" s="10" t="e">
        <f t="shared" si="6"/>
        <v>#DIV/0!</v>
      </c>
      <c r="BB13" s="10" t="e">
        <f t="shared" si="7"/>
        <v>#DIV/0!</v>
      </c>
      <c r="BC13" s="10" t="e">
        <f t="shared" si="8"/>
        <v>#DIV/0!</v>
      </c>
      <c r="BD13" s="10" t="e">
        <f t="shared" si="9"/>
        <v>#DIV/0!</v>
      </c>
      <c r="BE13" s="10" t="e">
        <f t="shared" si="10"/>
        <v>#DIV/0!</v>
      </c>
      <c r="BF13" s="10" t="e">
        <f t="shared" si="11"/>
        <v>#DIV/0!</v>
      </c>
      <c r="BG13" s="10" t="e">
        <f t="shared" si="12"/>
        <v>#DIV/0!</v>
      </c>
      <c r="BH13" s="10" t="e">
        <f t="shared" si="70"/>
        <v>#DIV/0!</v>
      </c>
      <c r="BI13" s="10"/>
      <c r="BJ13" s="10"/>
      <c r="BK13" s="10"/>
      <c r="BL13" s="10"/>
      <c r="BM13" s="10"/>
      <c r="BN13" s="113" t="e">
        <f>AR13/VLOOKUP(AP13,References!$A$3:$C$53,2,FALSE)</f>
        <v>#N/A</v>
      </c>
      <c r="BO13" s="113">
        <f t="shared" si="71"/>
        <v>0</v>
      </c>
      <c r="BP13" s="113" t="e">
        <f t="shared" si="13"/>
        <v>#DIV/0!</v>
      </c>
      <c r="BQ13" s="113">
        <f>((R13*(VLOOKUP(Q13,References!$A$57:$D$110,2,FALSE))%)+(S13*(VLOOKUP(Q13,References!$A$57:$D$110,2,FALSE))%)*(CW13+DA13+DM13))</f>
        <v>0</v>
      </c>
      <c r="BR13" s="113">
        <f>((R13*(VLOOKUP(Q13,References!$A$57:$D$110,3,FALSE))%)+(S13*(VLOOKUP(Q13,References!$A$57:$D$110,3,FALSE))%)*(CW13+DA13+DM13))</f>
        <v>0</v>
      </c>
      <c r="BS13" s="113">
        <f>((R13*(VLOOKUP(Q13,References!$A$57:$D$110,4,FALSE))%)+(S13*(VLOOKUP(Q13,References!$A$57:$D$110,4,FALSE))%)*(CW13+DA13+DM13))</f>
        <v>0</v>
      </c>
      <c r="BT13" s="10">
        <f>((((R13+S13)/100)*VLOOKUP(Q13,References!$A$58:$M$110,13,FALSE))*(CW13+DA13+DM13))</f>
        <v>0</v>
      </c>
      <c r="BU13" s="10" t="e">
        <f>(AR13/1000)*VLOOKUP(AP13,References!$A$4:$P$54,11,FALSE)</f>
        <v>#N/A</v>
      </c>
      <c r="BV13" s="10" t="e">
        <f>(AR13/1000)*VLOOKUP(AP13,References!$A$4:$P$54,12,FALSE)</f>
        <v>#N/A</v>
      </c>
      <c r="BW13" s="10" t="e">
        <f>(AR13/1000)*VLOOKUP(AP13,References!$A$4:$P$54,13,FALSE)</f>
        <v>#N/A</v>
      </c>
      <c r="BX13" s="113">
        <f t="shared" si="72"/>
        <v>0</v>
      </c>
      <c r="BY13" s="113">
        <f t="shared" si="73"/>
        <v>0</v>
      </c>
      <c r="BZ13" s="113">
        <f t="shared" si="74"/>
        <v>0</v>
      </c>
      <c r="CA13" s="113" t="e">
        <f t="shared" si="15"/>
        <v>#DIV/0!</v>
      </c>
      <c r="CB13" s="113" t="e">
        <f t="shared" si="16"/>
        <v>#DIV/0!</v>
      </c>
      <c r="CC13" s="113" t="e">
        <f t="shared" si="17"/>
        <v>#DIV/0!</v>
      </c>
      <c r="CD13" s="113" t="e">
        <f t="shared" si="18"/>
        <v>#DIV/0!</v>
      </c>
      <c r="CE13" s="113" t="e">
        <f t="shared" si="19"/>
        <v>#DIV/0!</v>
      </c>
      <c r="CF13" s="113" t="e">
        <f t="shared" si="20"/>
        <v>#DIV/0!</v>
      </c>
      <c r="CG13" s="113"/>
      <c r="CH13" s="113"/>
      <c r="CI13" s="113"/>
      <c r="CJ13" s="113"/>
      <c r="CK13" s="113"/>
      <c r="CL13" s="113"/>
      <c r="CM13" s="113" t="e">
        <f t="shared" si="21"/>
        <v>#DIV/0!</v>
      </c>
      <c r="CN13" s="113">
        <f>R13*VLOOKUP(Q13,References!$A$86:$E$158,2,FALSE)+S13*VLOOKUP(Q13,References!$A$86:$E$158,2,FALSE)</f>
        <v>0</v>
      </c>
      <c r="CO13" s="113" t="e">
        <f>((VLOOKUP(Q13,References!$A$86:$E$158,3,FALSE)-(CN13/C$7))/(VLOOKUP(Q13,References!$A$86:$E$158,3,FALSE)))</f>
        <v>#DIV/0!</v>
      </c>
      <c r="CP13" s="101" t="e">
        <f t="shared" si="75"/>
        <v>#DIV/0!</v>
      </c>
      <c r="CQ13" s="113">
        <f t="shared" si="76"/>
        <v>0</v>
      </c>
      <c r="CR13" s="113">
        <f t="shared" si="22"/>
        <v>0</v>
      </c>
      <c r="CS13" s="113">
        <f t="shared" si="23"/>
        <v>0</v>
      </c>
      <c r="CT13" s="113"/>
      <c r="CU13" s="10"/>
      <c r="CV13" s="10"/>
      <c r="CW13" s="7">
        <f t="shared" si="77"/>
        <v>0</v>
      </c>
      <c r="CX13" s="7" t="e">
        <f t="shared" si="24"/>
        <v>#DIV/0!</v>
      </c>
      <c r="CY13" s="7" t="e">
        <f t="shared" si="25"/>
        <v>#DIV/0!</v>
      </c>
      <c r="CZ13" s="7" t="e">
        <f t="shared" si="26"/>
        <v>#DIV/0!</v>
      </c>
      <c r="DA13" s="7">
        <f t="shared" si="78"/>
        <v>0</v>
      </c>
      <c r="DB13" s="7" t="e">
        <f t="shared" si="27"/>
        <v>#DIV/0!</v>
      </c>
      <c r="DC13" s="7" t="e">
        <f t="shared" si="28"/>
        <v>#DIV/0!</v>
      </c>
      <c r="DD13" s="7" t="e">
        <f t="shared" si="29"/>
        <v>#DIV/0!</v>
      </c>
      <c r="DE13" s="7">
        <f t="shared" si="79"/>
        <v>0</v>
      </c>
      <c r="DF13" s="7" t="e">
        <f t="shared" si="30"/>
        <v>#DIV/0!</v>
      </c>
      <c r="DG13" s="7" t="e">
        <f t="shared" si="31"/>
        <v>#DIV/0!</v>
      </c>
      <c r="DH13" s="7" t="e">
        <f t="shared" si="32"/>
        <v>#DIV/0!</v>
      </c>
      <c r="DI13" s="7">
        <f t="shared" si="80"/>
        <v>0</v>
      </c>
      <c r="DJ13" s="7" t="e">
        <f t="shared" si="33"/>
        <v>#DIV/0!</v>
      </c>
      <c r="DK13" s="7" t="e">
        <f t="shared" si="34"/>
        <v>#DIV/0!</v>
      </c>
      <c r="DL13" s="7" t="e">
        <f t="shared" si="35"/>
        <v>#DIV/0!</v>
      </c>
      <c r="DM13" s="7">
        <f t="shared" si="81"/>
        <v>0</v>
      </c>
      <c r="DN13" s="7" t="e">
        <f t="shared" si="36"/>
        <v>#DIV/0!</v>
      </c>
      <c r="DO13" s="7" t="e">
        <f t="shared" si="37"/>
        <v>#DIV/0!</v>
      </c>
      <c r="DP13" s="7" t="e">
        <f t="shared" si="38"/>
        <v>#DIV/0!</v>
      </c>
      <c r="DQ13" s="7">
        <f t="shared" si="82"/>
        <v>0</v>
      </c>
      <c r="DR13" s="7" t="e">
        <f t="shared" si="39"/>
        <v>#DIV/0!</v>
      </c>
      <c r="DS13" s="7" t="e">
        <f t="shared" si="40"/>
        <v>#DIV/0!</v>
      </c>
      <c r="DT13" s="7" t="e">
        <f t="shared" si="41"/>
        <v>#DIV/0!</v>
      </c>
      <c r="DU13" s="7">
        <f t="shared" si="83"/>
        <v>1</v>
      </c>
      <c r="DV13" s="7" t="e">
        <f t="shared" si="42"/>
        <v>#DIV/0!</v>
      </c>
      <c r="DW13" s="7" t="e">
        <f t="shared" si="43"/>
        <v>#DIV/0!</v>
      </c>
      <c r="DX13" s="7" t="e">
        <f t="shared" si="44"/>
        <v>#DIV/0!</v>
      </c>
      <c r="DY13" s="7">
        <f t="shared" si="84"/>
        <v>0</v>
      </c>
      <c r="DZ13" s="7" t="e">
        <f t="shared" si="45"/>
        <v>#DIV/0!</v>
      </c>
      <c r="EA13" s="7" t="e">
        <f t="shared" si="46"/>
        <v>#DIV/0!</v>
      </c>
      <c r="EB13" s="7" t="e">
        <f t="shared" si="47"/>
        <v>#DIV/0!</v>
      </c>
      <c r="EC13" s="7">
        <f t="shared" si="85"/>
        <v>0</v>
      </c>
      <c r="ED13" s="7" t="e">
        <f t="shared" si="48"/>
        <v>#DIV/0!</v>
      </c>
      <c r="EE13" s="7" t="e">
        <f t="shared" si="49"/>
        <v>#DIV/0!</v>
      </c>
      <c r="EF13" s="7" t="e">
        <f t="shared" si="50"/>
        <v>#DIV/0!</v>
      </c>
      <c r="EG13" s="7">
        <f t="shared" si="86"/>
        <v>0</v>
      </c>
      <c r="EH13" s="7" t="e">
        <f t="shared" si="51"/>
        <v>#DIV/0!</v>
      </c>
      <c r="EI13" s="7" t="e">
        <f t="shared" si="52"/>
        <v>#DIV/0!</v>
      </c>
      <c r="EJ13" s="7" t="e">
        <f t="shared" si="53"/>
        <v>#DIV/0!</v>
      </c>
      <c r="EK13" s="7">
        <f t="shared" si="87"/>
        <v>1</v>
      </c>
      <c r="EL13" s="7" t="e">
        <f t="shared" si="54"/>
        <v>#DIV/0!</v>
      </c>
      <c r="EM13" s="7"/>
      <c r="EN13" s="63">
        <f t="shared" si="88"/>
        <v>1</v>
      </c>
      <c r="EO13" s="63">
        <f t="shared" si="89"/>
        <v>0</v>
      </c>
      <c r="EP13" s="63" t="str">
        <f t="shared" si="91"/>
        <v>1</v>
      </c>
      <c r="EQ13" s="63" t="str">
        <f t="shared" si="90"/>
        <v>0</v>
      </c>
    </row>
    <row r="14" spans="1:147" x14ac:dyDescent="0.25">
      <c r="A14" s="13"/>
      <c r="B14" s="2"/>
      <c r="C14" s="9"/>
      <c r="D14" s="84" t="s">
        <v>8</v>
      </c>
      <c r="E14" s="84" t="s">
        <v>38</v>
      </c>
      <c r="F14" s="84" t="s">
        <v>31</v>
      </c>
      <c r="G14" s="84" t="s">
        <v>1</v>
      </c>
      <c r="H14" s="16"/>
      <c r="I14" s="6"/>
      <c r="J14" s="6"/>
      <c r="K14" s="6"/>
      <c r="L14" s="6"/>
      <c r="M14" s="19">
        <f t="shared" si="55"/>
        <v>0</v>
      </c>
      <c r="N14" s="19">
        <f t="shared" si="0"/>
        <v>0</v>
      </c>
      <c r="O14" s="9"/>
      <c r="P14" s="9" t="s">
        <v>120</v>
      </c>
      <c r="Q14" s="9" t="s">
        <v>212</v>
      </c>
      <c r="R14" s="9"/>
      <c r="U14" s="4">
        <f t="shared" si="56"/>
        <v>0</v>
      </c>
      <c r="AB14" s="5">
        <f t="shared" si="57"/>
        <v>0</v>
      </c>
      <c r="AC14" s="5">
        <f t="shared" si="58"/>
        <v>0</v>
      </c>
      <c r="AD14" s="5">
        <f t="shared" si="1"/>
        <v>0</v>
      </c>
      <c r="AE14" s="43">
        <f t="shared" si="2"/>
        <v>0</v>
      </c>
      <c r="AF14" s="3">
        <f t="shared" si="59"/>
        <v>0</v>
      </c>
      <c r="AG14" s="3">
        <f t="shared" si="60"/>
        <v>0</v>
      </c>
      <c r="AH14" s="3">
        <f t="shared" si="61"/>
        <v>0</v>
      </c>
      <c r="AI14" s="3">
        <f t="shared" si="62"/>
        <v>0</v>
      </c>
      <c r="AJ14" s="3">
        <f t="shared" si="63"/>
        <v>0</v>
      </c>
      <c r="AK14" s="3">
        <f t="shared" si="64"/>
        <v>0</v>
      </c>
      <c r="AL14" s="3">
        <f t="shared" si="65"/>
        <v>0</v>
      </c>
      <c r="AM14" s="3">
        <f t="shared" si="66"/>
        <v>0</v>
      </c>
      <c r="AN14" s="3">
        <f t="shared" si="67"/>
        <v>0</v>
      </c>
      <c r="AO14" s="54">
        <f t="shared" si="68"/>
        <v>0</v>
      </c>
      <c r="AQ14" t="s">
        <v>42</v>
      </c>
      <c r="AU14" s="104">
        <f t="shared" si="69"/>
        <v>0</v>
      </c>
      <c r="AV14" s="104">
        <f t="shared" si="3"/>
        <v>0</v>
      </c>
      <c r="AW14" s="79"/>
      <c r="AY14" s="10" t="e">
        <f t="shared" si="4"/>
        <v>#DIV/0!</v>
      </c>
      <c r="AZ14" s="10" t="e">
        <f t="shared" si="5"/>
        <v>#DIV/0!</v>
      </c>
      <c r="BA14" s="10" t="e">
        <f t="shared" si="6"/>
        <v>#DIV/0!</v>
      </c>
      <c r="BB14" s="10" t="e">
        <f t="shared" si="7"/>
        <v>#DIV/0!</v>
      </c>
      <c r="BC14" s="10" t="e">
        <f t="shared" si="8"/>
        <v>#DIV/0!</v>
      </c>
      <c r="BD14" s="10" t="e">
        <f t="shared" si="9"/>
        <v>#DIV/0!</v>
      </c>
      <c r="BE14" s="10" t="e">
        <f t="shared" si="10"/>
        <v>#DIV/0!</v>
      </c>
      <c r="BF14" s="10" t="e">
        <f t="shared" si="11"/>
        <v>#DIV/0!</v>
      </c>
      <c r="BG14" s="10" t="e">
        <f t="shared" si="12"/>
        <v>#DIV/0!</v>
      </c>
      <c r="BH14" s="10" t="e">
        <f t="shared" si="70"/>
        <v>#DIV/0!</v>
      </c>
      <c r="BI14" s="10"/>
      <c r="BJ14" s="10"/>
      <c r="BK14" s="10"/>
      <c r="BL14" s="10"/>
      <c r="BM14" s="10"/>
      <c r="BN14" s="113" t="e">
        <f>AR14/VLOOKUP(AP14,References!$A$3:$C$53,2,FALSE)</f>
        <v>#N/A</v>
      </c>
      <c r="BO14" s="113">
        <f t="shared" si="71"/>
        <v>0</v>
      </c>
      <c r="BP14" s="113" t="e">
        <f t="shared" si="13"/>
        <v>#DIV/0!</v>
      </c>
      <c r="BQ14" s="113">
        <f>((R14*(VLOOKUP(Q14,References!$A$57:$D$110,2,FALSE))%)+(S14*(VLOOKUP(Q14,References!$A$57:$D$110,2,FALSE))%)*(CW14+DA14+DM14))</f>
        <v>0</v>
      </c>
      <c r="BR14" s="113">
        <f>((R14*(VLOOKUP(Q14,References!$A$57:$D$110,3,FALSE))%)+(S14*(VLOOKUP(Q14,References!$A$57:$D$110,3,FALSE))%)*(CW14+DA14+DM14))</f>
        <v>0</v>
      </c>
      <c r="BS14" s="113">
        <f>((R14*(VLOOKUP(Q14,References!$A$57:$D$110,4,FALSE))%)+(S14*(VLOOKUP(Q14,References!$A$57:$D$110,4,FALSE))%)*(CW14+DA14+DM14))</f>
        <v>0</v>
      </c>
      <c r="BT14" s="10">
        <f>((((R14+S14)/100)*VLOOKUP(Q14,References!$A$58:$M$110,13,FALSE))*(CW14+DA14+DM14))</f>
        <v>0</v>
      </c>
      <c r="BU14" s="10" t="e">
        <f>(AR14/1000)*VLOOKUP(AP14,References!$A$4:$P$54,11,FALSE)</f>
        <v>#N/A</v>
      </c>
      <c r="BV14" s="10" t="e">
        <f>(AR14/1000)*VLOOKUP(AP14,References!$A$4:$P$54,12,FALSE)</f>
        <v>#N/A</v>
      </c>
      <c r="BW14" s="10" t="e">
        <f>(AR14/1000)*VLOOKUP(AP14,References!$A$4:$P$54,13,FALSE)</f>
        <v>#N/A</v>
      </c>
      <c r="BX14" s="113">
        <f t="shared" si="72"/>
        <v>0</v>
      </c>
      <c r="BY14" s="113">
        <f t="shared" si="73"/>
        <v>0</v>
      </c>
      <c r="BZ14" s="113">
        <f t="shared" si="74"/>
        <v>0</v>
      </c>
      <c r="CA14" s="113" t="e">
        <f t="shared" si="15"/>
        <v>#DIV/0!</v>
      </c>
      <c r="CB14" s="113" t="e">
        <f t="shared" si="16"/>
        <v>#DIV/0!</v>
      </c>
      <c r="CC14" s="113" t="e">
        <f t="shared" si="17"/>
        <v>#DIV/0!</v>
      </c>
      <c r="CD14" s="113" t="e">
        <f t="shared" si="18"/>
        <v>#DIV/0!</v>
      </c>
      <c r="CE14" s="113" t="e">
        <f t="shared" si="19"/>
        <v>#DIV/0!</v>
      </c>
      <c r="CF14" s="113" t="e">
        <f t="shared" si="20"/>
        <v>#DIV/0!</v>
      </c>
      <c r="CG14" s="113"/>
      <c r="CH14" s="113"/>
      <c r="CI14" s="113"/>
      <c r="CJ14" s="113"/>
      <c r="CK14" s="113"/>
      <c r="CL14" s="113"/>
      <c r="CM14" s="113" t="e">
        <f t="shared" si="21"/>
        <v>#DIV/0!</v>
      </c>
      <c r="CN14" s="113" t="e">
        <f>R14*VLOOKUP(Q14,References!$A$86:$E$158,2,FALSE)+S14*VLOOKUP(Q14,References!$A$86:$E$158,2,FALSE)</f>
        <v>#N/A</v>
      </c>
      <c r="CO14" s="113" t="e">
        <f>((VLOOKUP(Q14,References!$A$86:$E$158,3,FALSE)-(CN14/C$7))/(VLOOKUP(Q14,References!$A$86:$E$158,3,FALSE)))</f>
        <v>#N/A</v>
      </c>
      <c r="CP14" s="101" t="e">
        <f t="shared" si="75"/>
        <v>#N/A</v>
      </c>
      <c r="CQ14" s="113">
        <f t="shared" si="76"/>
        <v>0</v>
      </c>
      <c r="CR14" s="113">
        <f t="shared" si="22"/>
        <v>0</v>
      </c>
      <c r="CS14" s="113">
        <f t="shared" si="23"/>
        <v>0</v>
      </c>
      <c r="CT14" s="113"/>
      <c r="CU14" s="10"/>
      <c r="CV14" s="10"/>
      <c r="CW14" s="7">
        <f t="shared" si="77"/>
        <v>0</v>
      </c>
      <c r="CX14" s="7" t="e">
        <f t="shared" si="24"/>
        <v>#DIV/0!</v>
      </c>
      <c r="CY14" s="7" t="e">
        <f t="shared" si="25"/>
        <v>#DIV/0!</v>
      </c>
      <c r="CZ14" s="7" t="e">
        <f t="shared" si="26"/>
        <v>#DIV/0!</v>
      </c>
      <c r="DA14" s="7">
        <f t="shared" si="78"/>
        <v>0</v>
      </c>
      <c r="DB14" s="7" t="e">
        <f t="shared" si="27"/>
        <v>#DIV/0!</v>
      </c>
      <c r="DC14" s="7" t="e">
        <f t="shared" si="28"/>
        <v>#DIV/0!</v>
      </c>
      <c r="DD14" s="7" t="e">
        <f t="shared" si="29"/>
        <v>#DIV/0!</v>
      </c>
      <c r="DE14" s="7">
        <f t="shared" si="79"/>
        <v>0</v>
      </c>
      <c r="DF14" s="7" t="e">
        <f t="shared" si="30"/>
        <v>#DIV/0!</v>
      </c>
      <c r="DG14" s="7" t="e">
        <f t="shared" si="31"/>
        <v>#DIV/0!</v>
      </c>
      <c r="DH14" s="7" t="e">
        <f t="shared" si="32"/>
        <v>#DIV/0!</v>
      </c>
      <c r="DI14" s="7">
        <f t="shared" si="80"/>
        <v>0</v>
      </c>
      <c r="DJ14" s="7" t="e">
        <f t="shared" si="33"/>
        <v>#DIV/0!</v>
      </c>
      <c r="DK14" s="7" t="e">
        <f t="shared" si="34"/>
        <v>#DIV/0!</v>
      </c>
      <c r="DL14" s="7" t="e">
        <f t="shared" si="35"/>
        <v>#DIV/0!</v>
      </c>
      <c r="DM14" s="7">
        <f t="shared" si="81"/>
        <v>0</v>
      </c>
      <c r="DN14" s="7" t="e">
        <f t="shared" si="36"/>
        <v>#DIV/0!</v>
      </c>
      <c r="DO14" s="7" t="e">
        <f t="shared" si="37"/>
        <v>#DIV/0!</v>
      </c>
      <c r="DP14" s="7" t="e">
        <f t="shared" si="38"/>
        <v>#DIV/0!</v>
      </c>
      <c r="DQ14" s="7">
        <f t="shared" si="82"/>
        <v>0</v>
      </c>
      <c r="DR14" s="7" t="e">
        <f t="shared" si="39"/>
        <v>#DIV/0!</v>
      </c>
      <c r="DS14" s="7" t="e">
        <f t="shared" si="40"/>
        <v>#DIV/0!</v>
      </c>
      <c r="DT14" s="7" t="e">
        <f t="shared" si="41"/>
        <v>#DIV/0!</v>
      </c>
      <c r="DU14" s="7">
        <f t="shared" si="83"/>
        <v>0</v>
      </c>
      <c r="DV14" s="7" t="e">
        <f t="shared" si="42"/>
        <v>#DIV/0!</v>
      </c>
      <c r="DW14" s="7" t="e">
        <f t="shared" si="43"/>
        <v>#DIV/0!</v>
      </c>
      <c r="DX14" s="7" t="e">
        <f t="shared" si="44"/>
        <v>#DIV/0!</v>
      </c>
      <c r="DY14" s="7">
        <f t="shared" si="84"/>
        <v>1</v>
      </c>
      <c r="DZ14" s="7" t="e">
        <f t="shared" si="45"/>
        <v>#DIV/0!</v>
      </c>
      <c r="EA14" s="7" t="e">
        <f t="shared" si="46"/>
        <v>#DIV/0!</v>
      </c>
      <c r="EB14" s="7" t="e">
        <f t="shared" si="47"/>
        <v>#DIV/0!</v>
      </c>
      <c r="EC14" s="7">
        <f t="shared" si="85"/>
        <v>0</v>
      </c>
      <c r="ED14" s="7" t="e">
        <f t="shared" si="48"/>
        <v>#DIV/0!</v>
      </c>
      <c r="EE14" s="7" t="e">
        <f t="shared" si="49"/>
        <v>#DIV/0!</v>
      </c>
      <c r="EF14" s="7" t="e">
        <f t="shared" si="50"/>
        <v>#DIV/0!</v>
      </c>
      <c r="EG14" s="7">
        <f t="shared" si="86"/>
        <v>0</v>
      </c>
      <c r="EH14" s="7" t="e">
        <f t="shared" si="51"/>
        <v>#DIV/0!</v>
      </c>
      <c r="EI14" s="7" t="e">
        <f t="shared" si="52"/>
        <v>#DIV/0!</v>
      </c>
      <c r="EJ14" s="7" t="e">
        <f t="shared" si="53"/>
        <v>#DIV/0!</v>
      </c>
      <c r="EK14" s="7">
        <f t="shared" si="87"/>
        <v>1</v>
      </c>
      <c r="EL14" s="7" t="e">
        <f t="shared" si="54"/>
        <v>#DIV/0!</v>
      </c>
      <c r="EM14" s="7"/>
      <c r="EN14" s="63">
        <f t="shared" si="88"/>
        <v>1</v>
      </c>
      <c r="EO14" s="63">
        <f t="shared" si="89"/>
        <v>0</v>
      </c>
      <c r="EP14" s="63" t="str">
        <f t="shared" si="91"/>
        <v>1</v>
      </c>
      <c r="EQ14" s="63" t="str">
        <f t="shared" si="90"/>
        <v>0</v>
      </c>
    </row>
    <row r="15" spans="1:147" x14ac:dyDescent="0.25">
      <c r="A15" s="13"/>
      <c r="B15" s="2"/>
      <c r="C15" s="9"/>
      <c r="D15" s="84" t="s">
        <v>23</v>
      </c>
      <c r="E15" s="84" t="s">
        <v>38</v>
      </c>
      <c r="F15" s="84" t="s">
        <v>32</v>
      </c>
      <c r="G15" s="84" t="s">
        <v>1</v>
      </c>
      <c r="H15" s="16"/>
      <c r="I15" s="6"/>
      <c r="J15" s="6"/>
      <c r="K15" s="6"/>
      <c r="L15" s="6"/>
      <c r="M15" s="19">
        <f t="shared" si="55"/>
        <v>0</v>
      </c>
      <c r="N15" s="19">
        <f t="shared" si="0"/>
        <v>0</v>
      </c>
      <c r="O15" s="9"/>
      <c r="P15" s="9" t="s">
        <v>120</v>
      </c>
      <c r="Q15" s="9" t="s">
        <v>212</v>
      </c>
      <c r="R15" s="9"/>
      <c r="U15" s="4">
        <f t="shared" si="56"/>
        <v>0</v>
      </c>
      <c r="AB15" s="5">
        <f t="shared" si="57"/>
        <v>0</v>
      </c>
      <c r="AC15" s="5">
        <f t="shared" si="58"/>
        <v>0</v>
      </c>
      <c r="AD15" s="5">
        <f t="shared" si="1"/>
        <v>0</v>
      </c>
      <c r="AE15" s="43">
        <f t="shared" si="2"/>
        <v>0</v>
      </c>
      <c r="AF15" s="3">
        <f t="shared" si="59"/>
        <v>0</v>
      </c>
      <c r="AG15" s="3">
        <f t="shared" si="60"/>
        <v>0</v>
      </c>
      <c r="AH15" s="3">
        <f t="shared" si="61"/>
        <v>0</v>
      </c>
      <c r="AI15" s="3">
        <f t="shared" si="62"/>
        <v>0</v>
      </c>
      <c r="AJ15" s="3">
        <f t="shared" si="63"/>
        <v>0</v>
      </c>
      <c r="AK15" s="3">
        <f t="shared" si="64"/>
        <v>0</v>
      </c>
      <c r="AL15" s="3">
        <f t="shared" si="65"/>
        <v>0</v>
      </c>
      <c r="AM15" s="3">
        <f t="shared" si="66"/>
        <v>0</v>
      </c>
      <c r="AN15" s="3">
        <f t="shared" si="67"/>
        <v>0</v>
      </c>
      <c r="AO15" s="54">
        <f t="shared" si="68"/>
        <v>0</v>
      </c>
      <c r="AQ15" t="s">
        <v>42</v>
      </c>
      <c r="AU15" s="104">
        <f t="shared" si="69"/>
        <v>0</v>
      </c>
      <c r="AV15" s="104">
        <f t="shared" si="3"/>
        <v>0</v>
      </c>
      <c r="AW15" s="79"/>
      <c r="AY15" s="10" t="e">
        <f t="shared" si="4"/>
        <v>#DIV/0!</v>
      </c>
      <c r="AZ15" s="10" t="e">
        <f t="shared" si="5"/>
        <v>#DIV/0!</v>
      </c>
      <c r="BA15" s="10" t="e">
        <f t="shared" si="6"/>
        <v>#DIV/0!</v>
      </c>
      <c r="BB15" s="10" t="e">
        <f t="shared" si="7"/>
        <v>#DIV/0!</v>
      </c>
      <c r="BC15" s="10" t="e">
        <f t="shared" si="8"/>
        <v>#DIV/0!</v>
      </c>
      <c r="BD15" s="10" t="e">
        <f t="shared" si="9"/>
        <v>#DIV/0!</v>
      </c>
      <c r="BE15" s="10" t="e">
        <f t="shared" si="10"/>
        <v>#DIV/0!</v>
      </c>
      <c r="BF15" s="10" t="e">
        <f t="shared" si="11"/>
        <v>#DIV/0!</v>
      </c>
      <c r="BG15" s="10" t="e">
        <f t="shared" si="12"/>
        <v>#DIV/0!</v>
      </c>
      <c r="BH15" s="10" t="e">
        <f t="shared" si="70"/>
        <v>#DIV/0!</v>
      </c>
      <c r="BI15" s="10"/>
      <c r="BJ15" s="10"/>
      <c r="BK15" s="10"/>
      <c r="BL15" s="10"/>
      <c r="BM15" s="10"/>
      <c r="BN15" s="113" t="e">
        <f>AR15/VLOOKUP(AP15,References!$A$3:$C$53,2,FALSE)</f>
        <v>#N/A</v>
      </c>
      <c r="BO15" s="113">
        <f t="shared" si="71"/>
        <v>0</v>
      </c>
      <c r="BP15" s="113" t="e">
        <f t="shared" si="13"/>
        <v>#DIV/0!</v>
      </c>
      <c r="BQ15" s="113">
        <f>((R15*(VLOOKUP(Q15,References!$A$57:$D$110,2,FALSE))%)+(S15*(VLOOKUP(Q15,References!$A$57:$D$110,2,FALSE))%)*(CW15+DA15+DM15))</f>
        <v>0</v>
      </c>
      <c r="BR15" s="113">
        <f>((R15*(VLOOKUP(Q15,References!$A$57:$D$110,3,FALSE))%)+(S15*(VLOOKUP(Q15,References!$A$57:$D$110,3,FALSE))%)*(CW15+DA15+DM15))</f>
        <v>0</v>
      </c>
      <c r="BS15" s="113">
        <f>((R15*(VLOOKUP(Q15,References!$A$57:$D$110,4,FALSE))%)+(S15*(VLOOKUP(Q15,References!$A$57:$D$110,4,FALSE))%)*(CW15+DA15+DM15))</f>
        <v>0</v>
      </c>
      <c r="BT15" s="10">
        <f>((((R15+S15)/100)*VLOOKUP(Q15,References!$A$58:$M$110,13,FALSE))*(CW15+DA15+DM15))</f>
        <v>0</v>
      </c>
      <c r="BU15" s="10" t="e">
        <f>(AR15/1000)*VLOOKUP(AP15,References!$A$4:$P$54,11,FALSE)</f>
        <v>#N/A</v>
      </c>
      <c r="BV15" s="10" t="e">
        <f>(AR15/1000)*VLOOKUP(AP15,References!$A$4:$P$54,12,FALSE)</f>
        <v>#N/A</v>
      </c>
      <c r="BW15" s="10" t="e">
        <f>(AR15/1000)*VLOOKUP(AP15,References!$A$4:$P$54,13,FALSE)</f>
        <v>#N/A</v>
      </c>
      <c r="BX15" s="113">
        <f t="shared" si="72"/>
        <v>0</v>
      </c>
      <c r="BY15" s="113">
        <f t="shared" si="73"/>
        <v>0</v>
      </c>
      <c r="BZ15" s="113">
        <f t="shared" si="74"/>
        <v>0</v>
      </c>
      <c r="CA15" s="113" t="e">
        <f t="shared" si="15"/>
        <v>#DIV/0!</v>
      </c>
      <c r="CB15" s="113" t="e">
        <f t="shared" si="16"/>
        <v>#DIV/0!</v>
      </c>
      <c r="CC15" s="113" t="e">
        <f t="shared" si="17"/>
        <v>#DIV/0!</v>
      </c>
      <c r="CD15" s="113" t="e">
        <f t="shared" si="18"/>
        <v>#DIV/0!</v>
      </c>
      <c r="CE15" s="113" t="e">
        <f t="shared" si="19"/>
        <v>#DIV/0!</v>
      </c>
      <c r="CF15" s="113" t="e">
        <f t="shared" si="20"/>
        <v>#DIV/0!</v>
      </c>
      <c r="CG15" s="113"/>
      <c r="CH15" s="113"/>
      <c r="CI15" s="113"/>
      <c r="CJ15" s="113"/>
      <c r="CK15" s="113"/>
      <c r="CL15" s="113"/>
      <c r="CM15" s="113" t="e">
        <f t="shared" si="21"/>
        <v>#DIV/0!</v>
      </c>
      <c r="CN15" s="113" t="e">
        <f>R15*VLOOKUP(Q15,References!$A$86:$E$158,2,FALSE)+S15*VLOOKUP(Q15,References!$A$86:$E$158,2,FALSE)</f>
        <v>#N/A</v>
      </c>
      <c r="CO15" s="113" t="e">
        <f>((VLOOKUP(Q15,References!$A$86:$E$158,3,FALSE)-(CN15/C$7))/(VLOOKUP(Q15,References!$A$86:$E$158,3,FALSE)))</f>
        <v>#N/A</v>
      </c>
      <c r="CP15" s="101" t="e">
        <f t="shared" si="75"/>
        <v>#N/A</v>
      </c>
      <c r="CQ15" s="113">
        <f t="shared" si="76"/>
        <v>0</v>
      </c>
      <c r="CR15" s="113">
        <f t="shared" si="22"/>
        <v>0</v>
      </c>
      <c r="CS15" s="113">
        <f t="shared" si="23"/>
        <v>0</v>
      </c>
      <c r="CT15" s="113"/>
      <c r="CU15" s="10"/>
      <c r="CV15" s="10"/>
      <c r="CW15" s="7">
        <f t="shared" si="77"/>
        <v>0</v>
      </c>
      <c r="CX15" s="7" t="e">
        <f t="shared" si="24"/>
        <v>#DIV/0!</v>
      </c>
      <c r="CY15" s="7" t="e">
        <f t="shared" si="25"/>
        <v>#DIV/0!</v>
      </c>
      <c r="CZ15" s="7" t="e">
        <f t="shared" si="26"/>
        <v>#DIV/0!</v>
      </c>
      <c r="DA15" s="7">
        <f t="shared" si="78"/>
        <v>0</v>
      </c>
      <c r="DB15" s="7" t="e">
        <f t="shared" si="27"/>
        <v>#DIV/0!</v>
      </c>
      <c r="DC15" s="7" t="e">
        <f t="shared" si="28"/>
        <v>#DIV/0!</v>
      </c>
      <c r="DD15" s="7" t="e">
        <f t="shared" si="29"/>
        <v>#DIV/0!</v>
      </c>
      <c r="DE15" s="7">
        <f t="shared" si="79"/>
        <v>0</v>
      </c>
      <c r="DF15" s="7" t="e">
        <f t="shared" si="30"/>
        <v>#DIV/0!</v>
      </c>
      <c r="DG15" s="7" t="e">
        <f t="shared" si="31"/>
        <v>#DIV/0!</v>
      </c>
      <c r="DH15" s="7" t="e">
        <f t="shared" si="32"/>
        <v>#DIV/0!</v>
      </c>
      <c r="DI15" s="7">
        <f t="shared" si="80"/>
        <v>0</v>
      </c>
      <c r="DJ15" s="7" t="e">
        <f t="shared" si="33"/>
        <v>#DIV/0!</v>
      </c>
      <c r="DK15" s="7" t="e">
        <f t="shared" si="34"/>
        <v>#DIV/0!</v>
      </c>
      <c r="DL15" s="7" t="e">
        <f t="shared" si="35"/>
        <v>#DIV/0!</v>
      </c>
      <c r="DM15" s="7">
        <f t="shared" si="81"/>
        <v>0</v>
      </c>
      <c r="DN15" s="7" t="e">
        <f t="shared" si="36"/>
        <v>#DIV/0!</v>
      </c>
      <c r="DO15" s="7" t="e">
        <f t="shared" si="37"/>
        <v>#DIV/0!</v>
      </c>
      <c r="DP15" s="7" t="e">
        <f t="shared" si="38"/>
        <v>#DIV/0!</v>
      </c>
      <c r="DQ15" s="7">
        <f t="shared" si="82"/>
        <v>1</v>
      </c>
      <c r="DR15" s="7" t="e">
        <f t="shared" si="39"/>
        <v>#DIV/0!</v>
      </c>
      <c r="DS15" s="7" t="e">
        <f t="shared" si="40"/>
        <v>#DIV/0!</v>
      </c>
      <c r="DT15" s="7" t="e">
        <f t="shared" si="41"/>
        <v>#DIV/0!</v>
      </c>
      <c r="DU15" s="7">
        <f t="shared" si="83"/>
        <v>0</v>
      </c>
      <c r="DV15" s="7" t="e">
        <f t="shared" si="42"/>
        <v>#DIV/0!</v>
      </c>
      <c r="DW15" s="7" t="e">
        <f t="shared" si="43"/>
        <v>#DIV/0!</v>
      </c>
      <c r="DX15" s="7" t="e">
        <f t="shared" si="44"/>
        <v>#DIV/0!</v>
      </c>
      <c r="DY15" s="7">
        <f t="shared" si="84"/>
        <v>0</v>
      </c>
      <c r="DZ15" s="7" t="e">
        <f t="shared" si="45"/>
        <v>#DIV/0!</v>
      </c>
      <c r="EA15" s="7" t="e">
        <f t="shared" si="46"/>
        <v>#DIV/0!</v>
      </c>
      <c r="EB15" s="7" t="e">
        <f t="shared" si="47"/>
        <v>#DIV/0!</v>
      </c>
      <c r="EC15" s="7">
        <f t="shared" si="85"/>
        <v>0</v>
      </c>
      <c r="ED15" s="7" t="e">
        <f t="shared" si="48"/>
        <v>#DIV/0!</v>
      </c>
      <c r="EE15" s="7" t="e">
        <f t="shared" si="49"/>
        <v>#DIV/0!</v>
      </c>
      <c r="EF15" s="7" t="e">
        <f t="shared" si="50"/>
        <v>#DIV/0!</v>
      </c>
      <c r="EG15" s="7">
        <f t="shared" si="86"/>
        <v>0</v>
      </c>
      <c r="EH15" s="7" t="e">
        <f t="shared" si="51"/>
        <v>#DIV/0!</v>
      </c>
      <c r="EI15" s="7" t="e">
        <f t="shared" si="52"/>
        <v>#DIV/0!</v>
      </c>
      <c r="EJ15" s="7" t="e">
        <f t="shared" si="53"/>
        <v>#DIV/0!</v>
      </c>
      <c r="EK15" s="7">
        <f t="shared" si="87"/>
        <v>1</v>
      </c>
      <c r="EL15" s="7" t="e">
        <f t="shared" si="54"/>
        <v>#DIV/0!</v>
      </c>
      <c r="EM15" s="7"/>
      <c r="EN15" s="63">
        <f t="shared" si="88"/>
        <v>1</v>
      </c>
      <c r="EO15" s="63">
        <f t="shared" si="89"/>
        <v>0</v>
      </c>
      <c r="EP15" s="63" t="str">
        <f t="shared" si="91"/>
        <v>1</v>
      </c>
      <c r="EQ15" s="63" t="str">
        <f t="shared" si="90"/>
        <v>0</v>
      </c>
    </row>
    <row r="16" spans="1:147" x14ac:dyDescent="0.25">
      <c r="A16" s="13"/>
      <c r="B16" s="2"/>
      <c r="C16" s="9"/>
      <c r="D16" s="84" t="s">
        <v>33</v>
      </c>
      <c r="E16" s="84" t="s">
        <v>13</v>
      </c>
      <c r="F16" s="84" t="s">
        <v>28</v>
      </c>
      <c r="G16" s="84" t="s">
        <v>1</v>
      </c>
      <c r="H16" s="16"/>
      <c r="I16" s="6"/>
      <c r="J16" s="6"/>
      <c r="K16" s="6"/>
      <c r="L16" s="6"/>
      <c r="M16" s="19">
        <f t="shared" si="55"/>
        <v>0</v>
      </c>
      <c r="N16" s="19">
        <f t="shared" si="0"/>
        <v>0</v>
      </c>
      <c r="O16" s="9"/>
      <c r="P16" s="9" t="s">
        <v>120</v>
      </c>
      <c r="Q16" s="9" t="s">
        <v>212</v>
      </c>
      <c r="R16" s="9"/>
      <c r="U16" s="4">
        <f t="shared" si="56"/>
        <v>0</v>
      </c>
      <c r="AB16" s="5">
        <f t="shared" si="57"/>
        <v>0</v>
      </c>
      <c r="AC16" s="5">
        <f t="shared" si="58"/>
        <v>0</v>
      </c>
      <c r="AD16" s="5">
        <f t="shared" si="1"/>
        <v>0</v>
      </c>
      <c r="AE16" s="43">
        <f t="shared" si="2"/>
        <v>0</v>
      </c>
      <c r="AF16" s="3">
        <f t="shared" si="59"/>
        <v>0</v>
      </c>
      <c r="AG16" s="3">
        <f t="shared" si="60"/>
        <v>0</v>
      </c>
      <c r="AH16" s="3">
        <f t="shared" si="61"/>
        <v>0</v>
      </c>
      <c r="AI16" s="3">
        <f t="shared" si="62"/>
        <v>0</v>
      </c>
      <c r="AJ16" s="3">
        <f t="shared" si="63"/>
        <v>0</v>
      </c>
      <c r="AK16" s="3">
        <f t="shared" si="64"/>
        <v>0</v>
      </c>
      <c r="AL16" s="3">
        <f t="shared" si="65"/>
        <v>0</v>
      </c>
      <c r="AM16" s="3">
        <f t="shared" si="66"/>
        <v>0</v>
      </c>
      <c r="AN16" s="3">
        <f t="shared" si="67"/>
        <v>0</v>
      </c>
      <c r="AO16" s="54">
        <f t="shared" si="68"/>
        <v>0</v>
      </c>
      <c r="AQ16" t="s">
        <v>42</v>
      </c>
      <c r="AU16" s="104">
        <f t="shared" si="69"/>
        <v>0</v>
      </c>
      <c r="AV16" s="104">
        <f t="shared" si="3"/>
        <v>0</v>
      </c>
      <c r="AW16" s="79"/>
      <c r="AY16" s="10" t="e">
        <f t="shared" si="4"/>
        <v>#DIV/0!</v>
      </c>
      <c r="AZ16" s="10" t="e">
        <f t="shared" si="5"/>
        <v>#DIV/0!</v>
      </c>
      <c r="BA16" s="10" t="e">
        <f t="shared" si="6"/>
        <v>#DIV/0!</v>
      </c>
      <c r="BB16" s="10" t="e">
        <f t="shared" si="7"/>
        <v>#DIV/0!</v>
      </c>
      <c r="BC16" s="10" t="e">
        <f t="shared" si="8"/>
        <v>#DIV/0!</v>
      </c>
      <c r="BD16" s="10" t="e">
        <f t="shared" si="9"/>
        <v>#DIV/0!</v>
      </c>
      <c r="BE16" s="10" t="e">
        <f t="shared" si="10"/>
        <v>#DIV/0!</v>
      </c>
      <c r="BF16" s="10" t="e">
        <f t="shared" si="11"/>
        <v>#DIV/0!</v>
      </c>
      <c r="BG16" s="10" t="e">
        <f t="shared" si="12"/>
        <v>#DIV/0!</v>
      </c>
      <c r="BH16" s="10" t="e">
        <f t="shared" si="70"/>
        <v>#DIV/0!</v>
      </c>
      <c r="BI16" s="10"/>
      <c r="BJ16" s="10"/>
      <c r="BK16" s="10"/>
      <c r="BL16" s="10"/>
      <c r="BM16" s="10"/>
      <c r="BN16" s="113" t="e">
        <f>AR16/VLOOKUP(AP16,References!$A$3:$C$53,2,FALSE)</f>
        <v>#N/A</v>
      </c>
      <c r="BO16" s="113">
        <f t="shared" si="71"/>
        <v>0</v>
      </c>
      <c r="BP16" s="113" t="e">
        <f t="shared" si="13"/>
        <v>#DIV/0!</v>
      </c>
      <c r="BQ16" s="113">
        <f>((R16*(VLOOKUP(Q16,References!$A$57:$D$110,2,FALSE))%)+(S16*(VLOOKUP(Q16,References!$A$57:$D$110,2,FALSE))%)*(CW16+DA16+DM16))</f>
        <v>0</v>
      </c>
      <c r="BR16" s="113">
        <f>((R16*(VLOOKUP(Q16,References!$A$57:$D$110,3,FALSE))%)+(S16*(VLOOKUP(Q16,References!$A$57:$D$110,3,FALSE))%)*(CW16+DA16+DM16))</f>
        <v>0</v>
      </c>
      <c r="BS16" s="113">
        <f>((R16*(VLOOKUP(Q16,References!$A$57:$D$110,4,FALSE))%)+(S16*(VLOOKUP(Q16,References!$A$57:$D$110,4,FALSE))%)*(CW16+DA16+DM16))</f>
        <v>0</v>
      </c>
      <c r="BT16" s="10">
        <f>((((R16+S16)/100)*VLOOKUP(Q16,References!$A$58:$M$110,13,FALSE))*(CW16+DA16+DM16))</f>
        <v>0</v>
      </c>
      <c r="BU16" s="10" t="e">
        <f>(AR16/1000)*VLOOKUP(AP16,References!$A$4:$P$54,11,FALSE)</f>
        <v>#N/A</v>
      </c>
      <c r="BV16" s="10" t="e">
        <f>(AR16/1000)*VLOOKUP(AP16,References!$A$4:$P$54,12,FALSE)</f>
        <v>#N/A</v>
      </c>
      <c r="BW16" s="10" t="e">
        <f>(AR16/1000)*VLOOKUP(AP16,References!$A$4:$P$54,13,FALSE)</f>
        <v>#N/A</v>
      </c>
      <c r="BX16" s="113">
        <f t="shared" si="72"/>
        <v>0</v>
      </c>
      <c r="BY16" s="113">
        <f t="shared" si="73"/>
        <v>0</v>
      </c>
      <c r="BZ16" s="113">
        <f t="shared" si="74"/>
        <v>0</v>
      </c>
      <c r="CA16" s="113" t="e">
        <f t="shared" si="15"/>
        <v>#DIV/0!</v>
      </c>
      <c r="CB16" s="113" t="e">
        <f t="shared" si="16"/>
        <v>#DIV/0!</v>
      </c>
      <c r="CC16" s="113" t="e">
        <f t="shared" si="17"/>
        <v>#DIV/0!</v>
      </c>
      <c r="CD16" s="113" t="e">
        <f t="shared" si="18"/>
        <v>#DIV/0!</v>
      </c>
      <c r="CE16" s="113" t="e">
        <f t="shared" si="19"/>
        <v>#DIV/0!</v>
      </c>
      <c r="CF16" s="113" t="e">
        <f t="shared" si="20"/>
        <v>#DIV/0!</v>
      </c>
      <c r="CG16" s="113"/>
      <c r="CH16" s="113"/>
      <c r="CI16" s="113"/>
      <c r="CJ16" s="113"/>
      <c r="CK16" s="113"/>
      <c r="CL16" s="113"/>
      <c r="CM16" s="113" t="e">
        <f t="shared" si="21"/>
        <v>#DIV/0!</v>
      </c>
      <c r="CN16" s="113" t="e">
        <f>R16*VLOOKUP(Q16,References!$A$86:$E$158,2,FALSE)+S16*VLOOKUP(Q16,References!$A$86:$E$158,2,FALSE)</f>
        <v>#N/A</v>
      </c>
      <c r="CO16" s="113" t="e">
        <f>((VLOOKUP(Q16,References!$A$86:$E$158,3,FALSE)-(CN16/C$7))/(VLOOKUP(Q16,References!$A$86:$E$158,3,FALSE)))</f>
        <v>#N/A</v>
      </c>
      <c r="CP16" s="101" t="e">
        <f t="shared" si="75"/>
        <v>#N/A</v>
      </c>
      <c r="CQ16" s="113">
        <f t="shared" si="76"/>
        <v>0</v>
      </c>
      <c r="CR16" s="113">
        <f t="shared" si="22"/>
        <v>0</v>
      </c>
      <c r="CS16" s="113">
        <f t="shared" si="23"/>
        <v>0</v>
      </c>
      <c r="CT16" s="113"/>
      <c r="CU16" s="10"/>
      <c r="CV16" s="10"/>
      <c r="CW16" s="7">
        <f t="shared" si="77"/>
        <v>0</v>
      </c>
      <c r="CX16" s="7" t="e">
        <f t="shared" si="24"/>
        <v>#DIV/0!</v>
      </c>
      <c r="CY16" s="7" t="e">
        <f t="shared" si="25"/>
        <v>#DIV/0!</v>
      </c>
      <c r="CZ16" s="7" t="e">
        <f t="shared" si="26"/>
        <v>#DIV/0!</v>
      </c>
      <c r="DA16" s="7">
        <f t="shared" si="78"/>
        <v>0</v>
      </c>
      <c r="DB16" s="7" t="e">
        <f t="shared" si="27"/>
        <v>#DIV/0!</v>
      </c>
      <c r="DC16" s="7" t="e">
        <f t="shared" si="28"/>
        <v>#DIV/0!</v>
      </c>
      <c r="DD16" s="7" t="e">
        <f t="shared" si="29"/>
        <v>#DIV/0!</v>
      </c>
      <c r="DE16" s="7">
        <f t="shared" si="79"/>
        <v>1</v>
      </c>
      <c r="DF16" s="7" t="e">
        <f t="shared" si="30"/>
        <v>#DIV/0!</v>
      </c>
      <c r="DG16" s="7" t="e">
        <f t="shared" si="31"/>
        <v>#DIV/0!</v>
      </c>
      <c r="DH16" s="7" t="e">
        <f t="shared" si="32"/>
        <v>#DIV/0!</v>
      </c>
      <c r="DI16" s="7">
        <f t="shared" si="80"/>
        <v>0</v>
      </c>
      <c r="DJ16" s="7" t="e">
        <f t="shared" si="33"/>
        <v>#DIV/0!</v>
      </c>
      <c r="DK16" s="7" t="e">
        <f t="shared" si="34"/>
        <v>#DIV/0!</v>
      </c>
      <c r="DL16" s="7" t="e">
        <f t="shared" si="35"/>
        <v>#DIV/0!</v>
      </c>
      <c r="DM16" s="7">
        <f t="shared" si="81"/>
        <v>0</v>
      </c>
      <c r="DN16" s="7" t="e">
        <f t="shared" si="36"/>
        <v>#DIV/0!</v>
      </c>
      <c r="DO16" s="7" t="e">
        <f t="shared" si="37"/>
        <v>#DIV/0!</v>
      </c>
      <c r="DP16" s="7" t="e">
        <f t="shared" si="38"/>
        <v>#DIV/0!</v>
      </c>
      <c r="DQ16" s="7">
        <f t="shared" si="82"/>
        <v>0</v>
      </c>
      <c r="DR16" s="7" t="e">
        <f t="shared" si="39"/>
        <v>#DIV/0!</v>
      </c>
      <c r="DS16" s="7" t="e">
        <f t="shared" si="40"/>
        <v>#DIV/0!</v>
      </c>
      <c r="DT16" s="7" t="e">
        <f t="shared" si="41"/>
        <v>#DIV/0!</v>
      </c>
      <c r="DU16" s="7">
        <f t="shared" si="83"/>
        <v>0</v>
      </c>
      <c r="DV16" s="7" t="e">
        <f t="shared" si="42"/>
        <v>#DIV/0!</v>
      </c>
      <c r="DW16" s="7" t="e">
        <f t="shared" si="43"/>
        <v>#DIV/0!</v>
      </c>
      <c r="DX16" s="7" t="e">
        <f t="shared" si="44"/>
        <v>#DIV/0!</v>
      </c>
      <c r="DY16" s="7">
        <f t="shared" si="84"/>
        <v>0</v>
      </c>
      <c r="DZ16" s="7" t="e">
        <f t="shared" si="45"/>
        <v>#DIV/0!</v>
      </c>
      <c r="EA16" s="7" t="e">
        <f t="shared" si="46"/>
        <v>#DIV/0!</v>
      </c>
      <c r="EB16" s="7" t="e">
        <f t="shared" si="47"/>
        <v>#DIV/0!</v>
      </c>
      <c r="EC16" s="7">
        <f t="shared" si="85"/>
        <v>0</v>
      </c>
      <c r="ED16" s="7" t="e">
        <f t="shared" si="48"/>
        <v>#DIV/0!</v>
      </c>
      <c r="EE16" s="7" t="e">
        <f t="shared" si="49"/>
        <v>#DIV/0!</v>
      </c>
      <c r="EF16" s="7" t="e">
        <f t="shared" si="50"/>
        <v>#DIV/0!</v>
      </c>
      <c r="EG16" s="7">
        <f t="shared" si="86"/>
        <v>0</v>
      </c>
      <c r="EH16" s="7" t="e">
        <f t="shared" si="51"/>
        <v>#DIV/0!</v>
      </c>
      <c r="EI16" s="7" t="e">
        <f t="shared" si="52"/>
        <v>#DIV/0!</v>
      </c>
      <c r="EJ16" s="7" t="e">
        <f t="shared" si="53"/>
        <v>#DIV/0!</v>
      </c>
      <c r="EK16" s="7">
        <f t="shared" si="87"/>
        <v>1</v>
      </c>
      <c r="EL16" s="7" t="e">
        <f t="shared" si="54"/>
        <v>#DIV/0!</v>
      </c>
      <c r="EM16" s="7"/>
      <c r="EN16" s="63">
        <f t="shared" si="88"/>
        <v>0</v>
      </c>
      <c r="EO16" s="63">
        <f t="shared" si="89"/>
        <v>1</v>
      </c>
      <c r="EP16" s="63" t="str">
        <f t="shared" si="91"/>
        <v>1</v>
      </c>
      <c r="EQ16" s="63" t="str">
        <f t="shared" si="90"/>
        <v>0</v>
      </c>
    </row>
    <row r="17" spans="1:147" x14ac:dyDescent="0.25">
      <c r="A17" s="13"/>
      <c r="B17" s="2"/>
      <c r="C17" s="9"/>
      <c r="D17" s="84" t="s">
        <v>23</v>
      </c>
      <c r="E17" s="84" t="s">
        <v>38</v>
      </c>
      <c r="F17" s="84" t="s">
        <v>29</v>
      </c>
      <c r="G17" s="84" t="s">
        <v>1</v>
      </c>
      <c r="H17" s="16"/>
      <c r="I17" s="6"/>
      <c r="J17" s="6"/>
      <c r="K17" s="6"/>
      <c r="L17" s="6"/>
      <c r="M17" s="19">
        <f t="shared" si="55"/>
        <v>0</v>
      </c>
      <c r="N17" s="19">
        <f t="shared" si="0"/>
        <v>0</v>
      </c>
      <c r="O17" s="9"/>
      <c r="P17" s="9" t="s">
        <v>120</v>
      </c>
      <c r="Q17" s="9" t="s">
        <v>212</v>
      </c>
      <c r="R17" s="9"/>
      <c r="U17" s="4">
        <f t="shared" si="56"/>
        <v>0</v>
      </c>
      <c r="AB17" s="5">
        <f t="shared" si="57"/>
        <v>0</v>
      </c>
      <c r="AC17" s="5">
        <f t="shared" si="58"/>
        <v>0</v>
      </c>
      <c r="AD17" s="5">
        <f t="shared" si="1"/>
        <v>0</v>
      </c>
      <c r="AE17" s="43">
        <f t="shared" si="2"/>
        <v>0</v>
      </c>
      <c r="AF17" s="3">
        <f t="shared" si="59"/>
        <v>0</v>
      </c>
      <c r="AG17" s="3">
        <f t="shared" si="60"/>
        <v>0</v>
      </c>
      <c r="AH17" s="3">
        <f t="shared" si="61"/>
        <v>0</v>
      </c>
      <c r="AI17" s="3">
        <f t="shared" si="62"/>
        <v>0</v>
      </c>
      <c r="AJ17" s="3">
        <f t="shared" si="63"/>
        <v>0</v>
      </c>
      <c r="AK17" s="3">
        <f t="shared" si="64"/>
        <v>0</v>
      </c>
      <c r="AL17" s="3">
        <f t="shared" si="65"/>
        <v>0</v>
      </c>
      <c r="AM17" s="3">
        <f t="shared" si="66"/>
        <v>0</v>
      </c>
      <c r="AN17" s="3">
        <f t="shared" si="67"/>
        <v>0</v>
      </c>
      <c r="AO17" s="54">
        <f t="shared" si="68"/>
        <v>0</v>
      </c>
      <c r="AQ17" t="s">
        <v>42</v>
      </c>
      <c r="AU17" s="104">
        <f t="shared" si="69"/>
        <v>0</v>
      </c>
      <c r="AV17" s="104">
        <f t="shared" si="3"/>
        <v>0</v>
      </c>
      <c r="AW17" s="79"/>
      <c r="AY17" s="10" t="e">
        <f t="shared" si="4"/>
        <v>#DIV/0!</v>
      </c>
      <c r="AZ17" s="10" t="e">
        <f t="shared" si="5"/>
        <v>#DIV/0!</v>
      </c>
      <c r="BA17" s="10" t="e">
        <f t="shared" si="6"/>
        <v>#DIV/0!</v>
      </c>
      <c r="BB17" s="10" t="e">
        <f t="shared" si="7"/>
        <v>#DIV/0!</v>
      </c>
      <c r="BC17" s="10" t="e">
        <f t="shared" si="8"/>
        <v>#DIV/0!</v>
      </c>
      <c r="BD17" s="10" t="e">
        <f t="shared" si="9"/>
        <v>#DIV/0!</v>
      </c>
      <c r="BE17" s="10" t="e">
        <f t="shared" si="10"/>
        <v>#DIV/0!</v>
      </c>
      <c r="BF17" s="10" t="e">
        <f t="shared" si="11"/>
        <v>#DIV/0!</v>
      </c>
      <c r="BG17" s="10" t="e">
        <f t="shared" si="12"/>
        <v>#DIV/0!</v>
      </c>
      <c r="BH17" s="10" t="e">
        <f t="shared" si="70"/>
        <v>#DIV/0!</v>
      </c>
      <c r="BI17" s="10"/>
      <c r="BJ17" s="10"/>
      <c r="BK17" s="10"/>
      <c r="BL17" s="10"/>
      <c r="BM17" s="10"/>
      <c r="BN17" s="113" t="e">
        <f>AR17/VLOOKUP(AP17,References!$A$3:$C$53,2,FALSE)</f>
        <v>#N/A</v>
      </c>
      <c r="BO17" s="113">
        <f t="shared" si="71"/>
        <v>0</v>
      </c>
      <c r="BP17" s="113" t="e">
        <f t="shared" si="13"/>
        <v>#DIV/0!</v>
      </c>
      <c r="BQ17" s="113">
        <f>((R17*(VLOOKUP(Q17,References!$A$57:$D$110,2,FALSE))%)+(S17*(VLOOKUP(Q17,References!$A$57:$D$110,2,FALSE))%)*(CW17+DA17+DM17))</f>
        <v>0</v>
      </c>
      <c r="BR17" s="113">
        <f>((R17*(VLOOKUP(Q17,References!$A$57:$D$110,3,FALSE))%)+(S17*(VLOOKUP(Q17,References!$A$57:$D$110,3,FALSE))%)*(CW17+DA17+DM17))</f>
        <v>0</v>
      </c>
      <c r="BS17" s="113">
        <f>((R17*(VLOOKUP(Q17,References!$A$57:$D$110,4,FALSE))%)+(S17*(VLOOKUP(Q17,References!$A$57:$D$110,4,FALSE))%)*(CW17+DA17+DM17))</f>
        <v>0</v>
      </c>
      <c r="BT17" s="10">
        <f>((((R17+S17)/100)*VLOOKUP(Q17,References!$A$58:$M$110,13,FALSE))*(CW17+DA17+DM17))</f>
        <v>0</v>
      </c>
      <c r="BU17" s="10" t="e">
        <f>(AR17/1000)*VLOOKUP(AP17,References!$A$4:$P$54,11,FALSE)</f>
        <v>#N/A</v>
      </c>
      <c r="BV17" s="10" t="e">
        <f>(AR17/1000)*VLOOKUP(AP17,References!$A$4:$P$54,12,FALSE)</f>
        <v>#N/A</v>
      </c>
      <c r="BW17" s="10" t="e">
        <f>(AR17/1000)*VLOOKUP(AP17,References!$A$4:$P$54,13,FALSE)</f>
        <v>#N/A</v>
      </c>
      <c r="BX17" s="113">
        <f t="shared" si="72"/>
        <v>0</v>
      </c>
      <c r="BY17" s="113">
        <f t="shared" si="73"/>
        <v>0</v>
      </c>
      <c r="BZ17" s="113">
        <f t="shared" si="74"/>
        <v>0</v>
      </c>
      <c r="CA17" s="113" t="e">
        <f t="shared" si="15"/>
        <v>#DIV/0!</v>
      </c>
      <c r="CB17" s="113" t="e">
        <f t="shared" si="16"/>
        <v>#DIV/0!</v>
      </c>
      <c r="CC17" s="113" t="e">
        <f t="shared" si="17"/>
        <v>#DIV/0!</v>
      </c>
      <c r="CD17" s="113" t="e">
        <f t="shared" si="18"/>
        <v>#DIV/0!</v>
      </c>
      <c r="CE17" s="113" t="e">
        <f t="shared" si="19"/>
        <v>#DIV/0!</v>
      </c>
      <c r="CF17" s="113" t="e">
        <f t="shared" si="20"/>
        <v>#DIV/0!</v>
      </c>
      <c r="CG17" s="113"/>
      <c r="CH17" s="113"/>
      <c r="CI17" s="113"/>
      <c r="CJ17" s="113"/>
      <c r="CK17" s="113"/>
      <c r="CL17" s="113"/>
      <c r="CM17" s="113" t="e">
        <f t="shared" si="21"/>
        <v>#DIV/0!</v>
      </c>
      <c r="CN17" s="113" t="e">
        <f>R17*VLOOKUP(Q17,References!$A$86:$E$158,2,FALSE)+S17*VLOOKUP(Q17,References!$A$86:$E$158,2,FALSE)</f>
        <v>#N/A</v>
      </c>
      <c r="CO17" s="113" t="e">
        <f>((VLOOKUP(Q17,References!$A$86:$E$158,3,FALSE)-(CN17/C$7))/(VLOOKUP(Q17,References!$A$86:$E$158,3,FALSE)))</f>
        <v>#N/A</v>
      </c>
      <c r="CP17" s="101" t="e">
        <f t="shared" si="75"/>
        <v>#N/A</v>
      </c>
      <c r="CQ17" s="113">
        <f t="shared" si="76"/>
        <v>0</v>
      </c>
      <c r="CR17" s="113">
        <f t="shared" si="22"/>
        <v>0</v>
      </c>
      <c r="CS17" s="113">
        <f t="shared" si="23"/>
        <v>0</v>
      </c>
      <c r="CT17" s="113"/>
      <c r="CU17" s="10"/>
      <c r="CV17" s="10"/>
      <c r="CW17" s="7">
        <f t="shared" si="77"/>
        <v>0</v>
      </c>
      <c r="CX17" s="7" t="e">
        <f t="shared" si="24"/>
        <v>#DIV/0!</v>
      </c>
      <c r="CY17" s="7" t="e">
        <f t="shared" si="25"/>
        <v>#DIV/0!</v>
      </c>
      <c r="CZ17" s="7" t="e">
        <f t="shared" si="26"/>
        <v>#DIV/0!</v>
      </c>
      <c r="DA17" s="7">
        <f t="shared" si="78"/>
        <v>0</v>
      </c>
      <c r="DB17" s="7" t="e">
        <f t="shared" si="27"/>
        <v>#DIV/0!</v>
      </c>
      <c r="DC17" s="7" t="e">
        <f t="shared" si="28"/>
        <v>#DIV/0!</v>
      </c>
      <c r="DD17" s="7" t="e">
        <f t="shared" si="29"/>
        <v>#DIV/0!</v>
      </c>
      <c r="DE17" s="7">
        <f t="shared" si="79"/>
        <v>0</v>
      </c>
      <c r="DF17" s="7" t="e">
        <f t="shared" si="30"/>
        <v>#DIV/0!</v>
      </c>
      <c r="DG17" s="7" t="e">
        <f t="shared" si="31"/>
        <v>#DIV/0!</v>
      </c>
      <c r="DH17" s="7" t="e">
        <f t="shared" si="32"/>
        <v>#DIV/0!</v>
      </c>
      <c r="DI17" s="7">
        <f t="shared" si="80"/>
        <v>0</v>
      </c>
      <c r="DJ17" s="7" t="e">
        <f t="shared" si="33"/>
        <v>#DIV/0!</v>
      </c>
      <c r="DK17" s="7" t="e">
        <f t="shared" si="34"/>
        <v>#DIV/0!</v>
      </c>
      <c r="DL17" s="7" t="e">
        <f t="shared" si="35"/>
        <v>#DIV/0!</v>
      </c>
      <c r="DM17" s="7">
        <f t="shared" si="81"/>
        <v>0</v>
      </c>
      <c r="DN17" s="7" t="e">
        <f t="shared" si="36"/>
        <v>#DIV/0!</v>
      </c>
      <c r="DO17" s="7" t="e">
        <f t="shared" si="37"/>
        <v>#DIV/0!</v>
      </c>
      <c r="DP17" s="7" t="e">
        <f t="shared" si="38"/>
        <v>#DIV/0!</v>
      </c>
      <c r="DQ17" s="7">
        <f t="shared" si="82"/>
        <v>1</v>
      </c>
      <c r="DR17" s="7" t="e">
        <f t="shared" si="39"/>
        <v>#DIV/0!</v>
      </c>
      <c r="DS17" s="7" t="e">
        <f t="shared" si="40"/>
        <v>#DIV/0!</v>
      </c>
      <c r="DT17" s="7" t="e">
        <f t="shared" si="41"/>
        <v>#DIV/0!</v>
      </c>
      <c r="DU17" s="7">
        <f t="shared" si="83"/>
        <v>0</v>
      </c>
      <c r="DV17" s="7" t="e">
        <f t="shared" si="42"/>
        <v>#DIV/0!</v>
      </c>
      <c r="DW17" s="7" t="e">
        <f t="shared" si="43"/>
        <v>#DIV/0!</v>
      </c>
      <c r="DX17" s="7" t="e">
        <f t="shared" si="44"/>
        <v>#DIV/0!</v>
      </c>
      <c r="DY17" s="7">
        <f t="shared" si="84"/>
        <v>0</v>
      </c>
      <c r="DZ17" s="7" t="e">
        <f t="shared" si="45"/>
        <v>#DIV/0!</v>
      </c>
      <c r="EA17" s="7" t="e">
        <f t="shared" si="46"/>
        <v>#DIV/0!</v>
      </c>
      <c r="EB17" s="7" t="e">
        <f t="shared" si="47"/>
        <v>#DIV/0!</v>
      </c>
      <c r="EC17" s="7">
        <f t="shared" si="85"/>
        <v>0</v>
      </c>
      <c r="ED17" s="7" t="e">
        <f t="shared" si="48"/>
        <v>#DIV/0!</v>
      </c>
      <c r="EE17" s="7" t="e">
        <f t="shared" si="49"/>
        <v>#DIV/0!</v>
      </c>
      <c r="EF17" s="7" t="e">
        <f t="shared" si="50"/>
        <v>#DIV/0!</v>
      </c>
      <c r="EG17" s="7">
        <f t="shared" si="86"/>
        <v>0</v>
      </c>
      <c r="EH17" s="7" t="e">
        <f t="shared" si="51"/>
        <v>#DIV/0!</v>
      </c>
      <c r="EI17" s="7" t="e">
        <f t="shared" si="52"/>
        <v>#DIV/0!</v>
      </c>
      <c r="EJ17" s="7" t="e">
        <f t="shared" si="53"/>
        <v>#DIV/0!</v>
      </c>
      <c r="EK17" s="7">
        <f t="shared" si="87"/>
        <v>1</v>
      </c>
      <c r="EL17" s="7" t="e">
        <f t="shared" si="54"/>
        <v>#DIV/0!</v>
      </c>
      <c r="EM17" s="7"/>
      <c r="EN17" s="63">
        <f t="shared" si="88"/>
        <v>1</v>
      </c>
      <c r="EO17" s="63">
        <f t="shared" si="89"/>
        <v>0</v>
      </c>
      <c r="EP17" s="63" t="str">
        <f t="shared" si="91"/>
        <v>1</v>
      </c>
      <c r="EQ17" s="63" t="str">
        <f t="shared" si="90"/>
        <v>0</v>
      </c>
    </row>
    <row r="18" spans="1:147" x14ac:dyDescent="0.25">
      <c r="A18" s="13"/>
      <c r="B18" s="2"/>
      <c r="C18" s="9"/>
      <c r="D18" s="84" t="s">
        <v>8</v>
      </c>
      <c r="E18" s="84" t="s">
        <v>38</v>
      </c>
      <c r="F18" s="84" t="s">
        <v>31</v>
      </c>
      <c r="G18" s="84" t="s">
        <v>1</v>
      </c>
      <c r="H18" s="16"/>
      <c r="I18" s="6"/>
      <c r="J18" s="6"/>
      <c r="K18" s="6"/>
      <c r="L18" s="6"/>
      <c r="M18" s="19">
        <f t="shared" ref="M18:M19" si="92">H18*I18</f>
        <v>0</v>
      </c>
      <c r="N18" s="19">
        <f t="shared" ref="N18:N19" si="93">(H18*I18)+(K18*L18)+(J18*L18)</f>
        <v>0</v>
      </c>
      <c r="O18" s="9"/>
      <c r="P18" s="9" t="s">
        <v>120</v>
      </c>
      <c r="Q18" s="9" t="s">
        <v>212</v>
      </c>
      <c r="R18" s="9"/>
      <c r="U18" s="4">
        <f t="shared" ref="U18:U19" si="94">(R18*T18)+(S18*T18)</f>
        <v>0</v>
      </c>
      <c r="AB18" s="5">
        <f t="shared" ref="AB18:AB19" si="95">(V18*X18)+(W18*X18)</f>
        <v>0</v>
      </c>
      <c r="AC18" s="5">
        <f t="shared" ref="AC18:AC19" si="96">(Y18*AA18)+(Z18*AA18)</f>
        <v>0</v>
      </c>
      <c r="AD18" s="5">
        <f t="shared" ref="AD18:AD19" si="97">(V18*X18)+(W18*X18)+(Y18*AA18)+(Z18*AA18)</f>
        <v>0</v>
      </c>
      <c r="AE18" s="43">
        <f t="shared" ref="AE18:AE19" si="98">N18+U18+AD18</f>
        <v>0</v>
      </c>
      <c r="AF18" s="3">
        <f t="shared" ref="AF18:AF19" si="99">(H18*I18)+(K18*L18)</f>
        <v>0</v>
      </c>
      <c r="AG18" s="3">
        <f t="shared" ref="AG18:AG19" si="100">(S18*T18)</f>
        <v>0</v>
      </c>
      <c r="AH18" s="3">
        <f t="shared" ref="AH18:AH19" si="101">(W18*X18)</f>
        <v>0</v>
      </c>
      <c r="AI18" s="3">
        <f t="shared" ref="AI18:AI19" si="102">(Z18*AA18)</f>
        <v>0</v>
      </c>
      <c r="AJ18" s="3">
        <f t="shared" ref="AJ18:AJ19" si="103">(H18*I18)+(K18*L18)+(S18*T18)+(W18*X18)+(Z18*AA18)</f>
        <v>0</v>
      </c>
      <c r="AK18" s="3">
        <f t="shared" ref="AK18:AK19" si="104">(J18*L18)</f>
        <v>0</v>
      </c>
      <c r="AL18" s="3">
        <f t="shared" ref="AL18:AL19" si="105">(R18*T18)</f>
        <v>0</v>
      </c>
      <c r="AM18" s="3">
        <f t="shared" ref="AM18:AM19" si="106">(V18*X18)</f>
        <v>0</v>
      </c>
      <c r="AN18" s="3">
        <f t="shared" ref="AN18:AN19" si="107">(Y18*AA18)</f>
        <v>0</v>
      </c>
      <c r="AO18" s="54">
        <f t="shared" ref="AO18:AO19" si="108">(J18*L18)+(R18*T18)+(V18*X18)+(Y18*AA18)</f>
        <v>0</v>
      </c>
      <c r="AQ18" t="s">
        <v>42</v>
      </c>
      <c r="AU18" s="104">
        <f t="shared" ref="AU18:AU19" si="109">AS18*AT18</f>
        <v>0</v>
      </c>
      <c r="AV18" s="104">
        <f t="shared" ref="AV18:AV19" si="110">(AR18*AT18)</f>
        <v>0</v>
      </c>
      <c r="AW18" s="79"/>
      <c r="AY18" s="10" t="e">
        <f t="shared" si="4"/>
        <v>#DIV/0!</v>
      </c>
      <c r="AZ18" s="10" t="e">
        <f t="shared" si="5"/>
        <v>#DIV/0!</v>
      </c>
      <c r="BA18" s="10" t="e">
        <f t="shared" si="6"/>
        <v>#DIV/0!</v>
      </c>
      <c r="BB18" s="10" t="e">
        <f t="shared" si="7"/>
        <v>#DIV/0!</v>
      </c>
      <c r="BC18" s="10" t="e">
        <f t="shared" si="8"/>
        <v>#DIV/0!</v>
      </c>
      <c r="BD18" s="10" t="e">
        <f t="shared" si="9"/>
        <v>#DIV/0!</v>
      </c>
      <c r="BE18" s="10" t="e">
        <f t="shared" si="10"/>
        <v>#DIV/0!</v>
      </c>
      <c r="BF18" s="10" t="e">
        <f t="shared" si="11"/>
        <v>#DIV/0!</v>
      </c>
      <c r="BG18" s="10" t="e">
        <f t="shared" si="12"/>
        <v>#DIV/0!</v>
      </c>
      <c r="BH18" s="10" t="e">
        <f t="shared" ref="BH18:BH19" si="111">BF18+BG18</f>
        <v>#DIV/0!</v>
      </c>
      <c r="BI18" s="10"/>
      <c r="BJ18" s="10"/>
      <c r="BK18" s="10"/>
      <c r="BL18" s="10"/>
      <c r="BM18" s="10"/>
      <c r="BN18" s="113" t="e">
        <f>AR18/VLOOKUP(AP18,References!$A$3:$C$53,2,FALSE)</f>
        <v>#N/A</v>
      </c>
      <c r="BO18" s="113">
        <f t="shared" ref="BO18:BO19" si="112">(IF(ISNUMBER(BN18),BN18,0))</f>
        <v>0</v>
      </c>
      <c r="BP18" s="113" t="e">
        <f t="shared" si="13"/>
        <v>#DIV/0!</v>
      </c>
      <c r="BQ18" s="113">
        <f>((R18*(VLOOKUP(Q18,References!$A$57:$D$110,2,FALSE))%)+(S18*(VLOOKUP(Q18,References!$A$57:$D$110,2,FALSE))%)*(CW18+DA18+DM18))</f>
        <v>0</v>
      </c>
      <c r="BR18" s="113">
        <f>((R18*(VLOOKUP(Q18,References!$A$57:$D$110,3,FALSE))%)+(S18*(VLOOKUP(Q18,References!$A$57:$D$110,3,FALSE))%)*(CW18+DA18+DM18))</f>
        <v>0</v>
      </c>
      <c r="BS18" s="113">
        <f>((R18*(VLOOKUP(Q18,References!$A$57:$D$110,4,FALSE))%)+(S18*(VLOOKUP(Q18,References!$A$57:$D$110,4,FALSE))%)*(CW18+DA18+DM18))</f>
        <v>0</v>
      </c>
      <c r="BT18" s="10">
        <f>((((R18+S18)/100)*VLOOKUP(Q18,References!$A$58:$M$110,13,FALSE))*(CW18+DA18+DM18))</f>
        <v>0</v>
      </c>
      <c r="BU18" s="10" t="e">
        <f>(AR18/1000)*VLOOKUP(AP18,References!$A$4:$P$54,11,FALSE)</f>
        <v>#N/A</v>
      </c>
      <c r="BV18" s="10" t="e">
        <f>(AR18/1000)*VLOOKUP(AP18,References!$A$4:$P$54,12,FALSE)</f>
        <v>#N/A</v>
      </c>
      <c r="BW18" s="10" t="e">
        <f>(AR18/1000)*VLOOKUP(AP18,References!$A$4:$P$54,13,FALSE)</f>
        <v>#N/A</v>
      </c>
      <c r="BX18" s="113">
        <f t="shared" ref="BX18:BX19" si="113">(IF(ISNUMBER(BU18),BU18,0))</f>
        <v>0</v>
      </c>
      <c r="BY18" s="113">
        <f t="shared" ref="BY18:BY19" si="114">(IF(ISNUMBER(BV18),BV18,0))</f>
        <v>0</v>
      </c>
      <c r="BZ18" s="113">
        <f t="shared" ref="BZ18:BZ19" si="115">(IF(ISNUMBER(BW18),BW18,0))</f>
        <v>0</v>
      </c>
      <c r="CA18" s="113" t="e">
        <f t="shared" si="15"/>
        <v>#DIV/0!</v>
      </c>
      <c r="CB18" s="113" t="e">
        <f t="shared" si="16"/>
        <v>#DIV/0!</v>
      </c>
      <c r="CC18" s="113" t="e">
        <f t="shared" si="17"/>
        <v>#DIV/0!</v>
      </c>
      <c r="CD18" s="113" t="e">
        <f t="shared" si="18"/>
        <v>#DIV/0!</v>
      </c>
      <c r="CE18" s="113" t="e">
        <f t="shared" si="19"/>
        <v>#DIV/0!</v>
      </c>
      <c r="CF18" s="113" t="e">
        <f t="shared" si="20"/>
        <v>#DIV/0!</v>
      </c>
      <c r="CG18" s="113"/>
      <c r="CH18" s="113"/>
      <c r="CI18" s="113"/>
      <c r="CJ18" s="113"/>
      <c r="CK18" s="113"/>
      <c r="CL18" s="113"/>
      <c r="CM18" s="113" t="e">
        <f t="shared" si="21"/>
        <v>#DIV/0!</v>
      </c>
      <c r="CN18" s="113" t="e">
        <f>R18*VLOOKUP(Q18,References!$A$86:$E$158,2,FALSE)+S18*VLOOKUP(Q18,References!$A$86:$E$158,2,FALSE)</f>
        <v>#N/A</v>
      </c>
      <c r="CO18" s="113" t="e">
        <f>((VLOOKUP(Q18,References!$A$86:$E$158,3,FALSE)-(CN18/C$7))/(VLOOKUP(Q18,References!$A$86:$E$158,3,FALSE)))</f>
        <v>#N/A</v>
      </c>
      <c r="CP18" s="101" t="e">
        <f t="shared" ref="CP18:CP19" si="116">1-CO18</f>
        <v>#N/A</v>
      </c>
      <c r="CQ18" s="113">
        <f t="shared" ref="CQ18:CQ19" si="117">(IF(ISNUMBER(CN18),CN18,0))</f>
        <v>0</v>
      </c>
      <c r="CR18" s="113">
        <f t="shared" ref="CR18:CR19" si="118">(IF(ISNUMBER(CO18),CO18,0))</f>
        <v>0</v>
      </c>
      <c r="CS18" s="113">
        <f t="shared" ref="CS18:CS19" si="119">(IF(ISNUMBER(CP18),CP18,0))</f>
        <v>0</v>
      </c>
      <c r="CT18" s="113"/>
      <c r="CU18" s="10"/>
      <c r="CV18" s="10"/>
      <c r="CW18" s="7">
        <f t="shared" si="77"/>
        <v>0</v>
      </c>
      <c r="CX18" s="7" t="e">
        <f t="shared" si="24"/>
        <v>#DIV/0!</v>
      </c>
      <c r="CY18" s="7" t="e">
        <f t="shared" si="25"/>
        <v>#DIV/0!</v>
      </c>
      <c r="CZ18" s="7" t="e">
        <f t="shared" si="26"/>
        <v>#DIV/0!</v>
      </c>
      <c r="DA18" s="7">
        <f t="shared" si="78"/>
        <v>0</v>
      </c>
      <c r="DB18" s="7" t="e">
        <f t="shared" si="27"/>
        <v>#DIV/0!</v>
      </c>
      <c r="DC18" s="7" t="e">
        <f t="shared" si="28"/>
        <v>#DIV/0!</v>
      </c>
      <c r="DD18" s="7" t="e">
        <f t="shared" si="29"/>
        <v>#DIV/0!</v>
      </c>
      <c r="DE18" s="7">
        <f t="shared" si="79"/>
        <v>0</v>
      </c>
      <c r="DF18" s="7" t="e">
        <f t="shared" si="30"/>
        <v>#DIV/0!</v>
      </c>
      <c r="DG18" s="7" t="e">
        <f t="shared" si="31"/>
        <v>#DIV/0!</v>
      </c>
      <c r="DH18" s="7" t="e">
        <f t="shared" si="32"/>
        <v>#DIV/0!</v>
      </c>
      <c r="DI18" s="7">
        <f t="shared" si="80"/>
        <v>0</v>
      </c>
      <c r="DJ18" s="7" t="e">
        <f t="shared" si="33"/>
        <v>#DIV/0!</v>
      </c>
      <c r="DK18" s="7" t="e">
        <f t="shared" si="34"/>
        <v>#DIV/0!</v>
      </c>
      <c r="DL18" s="7" t="e">
        <f t="shared" si="35"/>
        <v>#DIV/0!</v>
      </c>
      <c r="DM18" s="7">
        <f t="shared" si="81"/>
        <v>0</v>
      </c>
      <c r="DN18" s="7" t="e">
        <f t="shared" si="36"/>
        <v>#DIV/0!</v>
      </c>
      <c r="DO18" s="7" t="e">
        <f t="shared" si="37"/>
        <v>#DIV/0!</v>
      </c>
      <c r="DP18" s="7" t="e">
        <f t="shared" si="38"/>
        <v>#DIV/0!</v>
      </c>
      <c r="DQ18" s="7">
        <f t="shared" si="82"/>
        <v>0</v>
      </c>
      <c r="DR18" s="7" t="e">
        <f t="shared" si="39"/>
        <v>#DIV/0!</v>
      </c>
      <c r="DS18" s="7" t="e">
        <f t="shared" si="40"/>
        <v>#DIV/0!</v>
      </c>
      <c r="DT18" s="7" t="e">
        <f t="shared" si="41"/>
        <v>#DIV/0!</v>
      </c>
      <c r="DU18" s="7">
        <f t="shared" si="83"/>
        <v>0</v>
      </c>
      <c r="DV18" s="7" t="e">
        <f t="shared" si="42"/>
        <v>#DIV/0!</v>
      </c>
      <c r="DW18" s="7" t="e">
        <f t="shared" si="43"/>
        <v>#DIV/0!</v>
      </c>
      <c r="DX18" s="7" t="e">
        <f t="shared" si="44"/>
        <v>#DIV/0!</v>
      </c>
      <c r="DY18" s="7">
        <f t="shared" si="84"/>
        <v>1</v>
      </c>
      <c r="DZ18" s="7" t="e">
        <f t="shared" si="45"/>
        <v>#DIV/0!</v>
      </c>
      <c r="EA18" s="7" t="e">
        <f t="shared" si="46"/>
        <v>#DIV/0!</v>
      </c>
      <c r="EB18" s="7" t="e">
        <f t="shared" si="47"/>
        <v>#DIV/0!</v>
      </c>
      <c r="EC18" s="7">
        <f t="shared" si="85"/>
        <v>0</v>
      </c>
      <c r="ED18" s="7" t="e">
        <f t="shared" si="48"/>
        <v>#DIV/0!</v>
      </c>
      <c r="EE18" s="7" t="e">
        <f t="shared" si="49"/>
        <v>#DIV/0!</v>
      </c>
      <c r="EF18" s="7" t="e">
        <f t="shared" si="50"/>
        <v>#DIV/0!</v>
      </c>
      <c r="EG18" s="7">
        <f t="shared" si="86"/>
        <v>0</v>
      </c>
      <c r="EH18" s="7" t="e">
        <f t="shared" si="51"/>
        <v>#DIV/0!</v>
      </c>
      <c r="EI18" s="7" t="e">
        <f t="shared" si="52"/>
        <v>#DIV/0!</v>
      </c>
      <c r="EJ18" s="7" t="e">
        <f t="shared" si="53"/>
        <v>#DIV/0!</v>
      </c>
      <c r="EK18" s="7">
        <f t="shared" si="87"/>
        <v>1</v>
      </c>
      <c r="EL18" s="7" t="e">
        <f t="shared" si="54"/>
        <v>#DIV/0!</v>
      </c>
      <c r="EM18" s="7"/>
      <c r="EN18" s="63">
        <f t="shared" si="88"/>
        <v>1</v>
      </c>
      <c r="EO18" s="63">
        <f t="shared" si="89"/>
        <v>0</v>
      </c>
      <c r="EP18" s="63" t="str">
        <f t="shared" si="91"/>
        <v>1</v>
      </c>
      <c r="EQ18" s="63" t="str">
        <f t="shared" si="90"/>
        <v>0</v>
      </c>
    </row>
    <row r="19" spans="1:147" x14ac:dyDescent="0.25">
      <c r="A19" s="13"/>
      <c r="B19" s="2"/>
      <c r="C19" s="9"/>
      <c r="D19" s="84" t="s">
        <v>8</v>
      </c>
      <c r="E19" s="84" t="s">
        <v>13</v>
      </c>
      <c r="F19" s="84" t="s">
        <v>31</v>
      </c>
      <c r="G19" s="84" t="s">
        <v>1</v>
      </c>
      <c r="H19" s="16"/>
      <c r="I19" s="6"/>
      <c r="J19" s="6"/>
      <c r="K19" s="6"/>
      <c r="L19" s="6"/>
      <c r="M19" s="19">
        <f t="shared" si="92"/>
        <v>0</v>
      </c>
      <c r="N19" s="19">
        <f t="shared" si="93"/>
        <v>0</v>
      </c>
      <c r="O19" s="9"/>
      <c r="P19" s="9" t="s">
        <v>120</v>
      </c>
      <c r="Q19" s="9" t="s">
        <v>212</v>
      </c>
      <c r="R19" s="9"/>
      <c r="U19" s="4">
        <f t="shared" si="94"/>
        <v>0</v>
      </c>
      <c r="AB19" s="5">
        <f t="shared" si="95"/>
        <v>0</v>
      </c>
      <c r="AC19" s="5">
        <f t="shared" si="96"/>
        <v>0</v>
      </c>
      <c r="AD19" s="5">
        <f t="shared" si="97"/>
        <v>0</v>
      </c>
      <c r="AE19" s="43">
        <f t="shared" si="98"/>
        <v>0</v>
      </c>
      <c r="AF19" s="3">
        <f t="shared" si="99"/>
        <v>0</v>
      </c>
      <c r="AG19" s="3">
        <f t="shared" si="100"/>
        <v>0</v>
      </c>
      <c r="AH19" s="3">
        <f t="shared" si="101"/>
        <v>0</v>
      </c>
      <c r="AI19" s="3">
        <f t="shared" si="102"/>
        <v>0</v>
      </c>
      <c r="AJ19" s="3">
        <f t="shared" si="103"/>
        <v>0</v>
      </c>
      <c r="AK19" s="3">
        <f t="shared" si="104"/>
        <v>0</v>
      </c>
      <c r="AL19" s="3">
        <f t="shared" si="105"/>
        <v>0</v>
      </c>
      <c r="AM19" s="3">
        <f t="shared" si="106"/>
        <v>0</v>
      </c>
      <c r="AN19" s="3">
        <f t="shared" si="107"/>
        <v>0</v>
      </c>
      <c r="AO19" s="54">
        <f t="shared" si="108"/>
        <v>0</v>
      </c>
      <c r="AQ19" t="s">
        <v>42</v>
      </c>
      <c r="AU19" s="104">
        <f t="shared" si="109"/>
        <v>0</v>
      </c>
      <c r="AV19" s="104">
        <f t="shared" si="110"/>
        <v>0</v>
      </c>
      <c r="AW19" s="79"/>
      <c r="AY19" s="10" t="e">
        <f t="shared" si="4"/>
        <v>#DIV/0!</v>
      </c>
      <c r="AZ19" s="10" t="e">
        <f t="shared" si="5"/>
        <v>#DIV/0!</v>
      </c>
      <c r="BA19" s="10" t="e">
        <f t="shared" si="6"/>
        <v>#DIV/0!</v>
      </c>
      <c r="BB19" s="10" t="e">
        <f t="shared" si="7"/>
        <v>#DIV/0!</v>
      </c>
      <c r="BC19" s="10" t="e">
        <f t="shared" si="8"/>
        <v>#DIV/0!</v>
      </c>
      <c r="BD19" s="10" t="e">
        <f t="shared" si="9"/>
        <v>#DIV/0!</v>
      </c>
      <c r="BE19" s="10" t="e">
        <f t="shared" si="10"/>
        <v>#DIV/0!</v>
      </c>
      <c r="BF19" s="10" t="e">
        <f t="shared" si="11"/>
        <v>#DIV/0!</v>
      </c>
      <c r="BG19" s="10" t="e">
        <f t="shared" si="12"/>
        <v>#DIV/0!</v>
      </c>
      <c r="BH19" s="10" t="e">
        <f t="shared" si="111"/>
        <v>#DIV/0!</v>
      </c>
      <c r="BI19" s="10"/>
      <c r="BJ19" s="10"/>
      <c r="BK19" s="10"/>
      <c r="BL19" s="10"/>
      <c r="BM19" s="10"/>
      <c r="BN19" s="113" t="e">
        <f>AR19/VLOOKUP(AP19,References!$A$3:$C$53,2,FALSE)</f>
        <v>#N/A</v>
      </c>
      <c r="BO19" s="113">
        <f t="shared" si="112"/>
        <v>0</v>
      </c>
      <c r="BP19" s="113" t="e">
        <f t="shared" si="13"/>
        <v>#DIV/0!</v>
      </c>
      <c r="BQ19" s="113">
        <f>((R19*(VLOOKUP(Q19,References!$A$57:$D$110,2,FALSE))%)+(S19*(VLOOKUP(Q19,References!$A$57:$D$110,2,FALSE))%)*(CW19+DA19+DM19))</f>
        <v>0</v>
      </c>
      <c r="BR19" s="113">
        <f>((R19*(VLOOKUP(Q19,References!$A$57:$D$110,3,FALSE))%)+(S19*(VLOOKUP(Q19,References!$A$57:$D$110,3,FALSE))%)*(CW19+DA19+DM19))</f>
        <v>0</v>
      </c>
      <c r="BS19" s="113">
        <f>((R19*(VLOOKUP(Q19,References!$A$57:$D$110,4,FALSE))%)+(S19*(VLOOKUP(Q19,References!$A$57:$D$110,4,FALSE))%)*(CW19+DA19+DM19))</f>
        <v>0</v>
      </c>
      <c r="BT19" s="10">
        <f>((((R19+S19)/100)*VLOOKUP(Q19,References!$A$58:$M$110,13,FALSE))*(CW19+DA19+DM19))</f>
        <v>0</v>
      </c>
      <c r="BU19" s="10" t="e">
        <f>(AR19/1000)*VLOOKUP(AP19,References!$A$4:$P$54,11,FALSE)</f>
        <v>#N/A</v>
      </c>
      <c r="BV19" s="10" t="e">
        <f>(AR19/1000)*VLOOKUP(AP19,References!$A$4:$P$54,12,FALSE)</f>
        <v>#N/A</v>
      </c>
      <c r="BW19" s="10" t="e">
        <f>(AR19/1000)*VLOOKUP(AP19,References!$A$4:$P$54,13,FALSE)</f>
        <v>#N/A</v>
      </c>
      <c r="BX19" s="113">
        <f t="shared" si="113"/>
        <v>0</v>
      </c>
      <c r="BY19" s="113">
        <f t="shared" si="114"/>
        <v>0</v>
      </c>
      <c r="BZ19" s="113">
        <f t="shared" si="115"/>
        <v>0</v>
      </c>
      <c r="CA19" s="113" t="e">
        <f t="shared" si="15"/>
        <v>#DIV/0!</v>
      </c>
      <c r="CB19" s="113" t="e">
        <f t="shared" si="16"/>
        <v>#DIV/0!</v>
      </c>
      <c r="CC19" s="113" t="e">
        <f t="shared" si="17"/>
        <v>#DIV/0!</v>
      </c>
      <c r="CD19" s="113" t="e">
        <f t="shared" si="18"/>
        <v>#DIV/0!</v>
      </c>
      <c r="CE19" s="113" t="e">
        <f t="shared" si="19"/>
        <v>#DIV/0!</v>
      </c>
      <c r="CF19" s="113" t="e">
        <f t="shared" si="20"/>
        <v>#DIV/0!</v>
      </c>
      <c r="CG19" s="113"/>
      <c r="CH19" s="113"/>
      <c r="CI19" s="113"/>
      <c r="CJ19" s="113"/>
      <c r="CK19" s="113"/>
      <c r="CL19" s="113"/>
      <c r="CM19" s="113" t="e">
        <f t="shared" si="21"/>
        <v>#DIV/0!</v>
      </c>
      <c r="CN19" s="113" t="e">
        <f>R19*VLOOKUP(Q19,References!$A$86:$E$158,2,FALSE)+S19*VLOOKUP(Q19,References!$A$86:$E$158,2,FALSE)</f>
        <v>#N/A</v>
      </c>
      <c r="CO19" s="113" t="e">
        <f>((VLOOKUP(Q19,References!$A$86:$E$158,3,FALSE)-(CN19/C$7))/(VLOOKUP(Q19,References!$A$86:$E$158,3,FALSE)))</f>
        <v>#N/A</v>
      </c>
      <c r="CP19" s="101" t="e">
        <f t="shared" si="116"/>
        <v>#N/A</v>
      </c>
      <c r="CQ19" s="113">
        <f t="shared" si="117"/>
        <v>0</v>
      </c>
      <c r="CR19" s="113">
        <f t="shared" si="118"/>
        <v>0</v>
      </c>
      <c r="CS19" s="113">
        <f t="shared" si="119"/>
        <v>0</v>
      </c>
      <c r="CT19" s="113"/>
      <c r="CU19" s="10"/>
      <c r="CV19" s="10"/>
      <c r="CW19" s="7">
        <f t="shared" si="77"/>
        <v>0</v>
      </c>
      <c r="CX19" s="7" t="e">
        <f t="shared" si="24"/>
        <v>#DIV/0!</v>
      </c>
      <c r="CY19" s="7" t="e">
        <f t="shared" si="25"/>
        <v>#DIV/0!</v>
      </c>
      <c r="CZ19" s="7" t="e">
        <f t="shared" si="26"/>
        <v>#DIV/0!</v>
      </c>
      <c r="DA19" s="7">
        <f t="shared" si="78"/>
        <v>0</v>
      </c>
      <c r="DB19" s="7" t="e">
        <f t="shared" si="27"/>
        <v>#DIV/0!</v>
      </c>
      <c r="DC19" s="7" t="e">
        <f t="shared" si="28"/>
        <v>#DIV/0!</v>
      </c>
      <c r="DD19" s="7" t="e">
        <f t="shared" si="29"/>
        <v>#DIV/0!</v>
      </c>
      <c r="DE19" s="7">
        <f t="shared" si="79"/>
        <v>0</v>
      </c>
      <c r="DF19" s="7" t="e">
        <f t="shared" si="30"/>
        <v>#DIV/0!</v>
      </c>
      <c r="DG19" s="7" t="e">
        <f t="shared" si="31"/>
        <v>#DIV/0!</v>
      </c>
      <c r="DH19" s="7" t="e">
        <f t="shared" si="32"/>
        <v>#DIV/0!</v>
      </c>
      <c r="DI19" s="7">
        <f t="shared" si="80"/>
        <v>0</v>
      </c>
      <c r="DJ19" s="7" t="e">
        <f t="shared" si="33"/>
        <v>#DIV/0!</v>
      </c>
      <c r="DK19" s="7" t="e">
        <f t="shared" si="34"/>
        <v>#DIV/0!</v>
      </c>
      <c r="DL19" s="7" t="e">
        <f t="shared" si="35"/>
        <v>#DIV/0!</v>
      </c>
      <c r="DM19" s="7">
        <f t="shared" si="81"/>
        <v>0</v>
      </c>
      <c r="DN19" s="7" t="e">
        <f t="shared" si="36"/>
        <v>#DIV/0!</v>
      </c>
      <c r="DO19" s="7" t="e">
        <f t="shared" si="37"/>
        <v>#DIV/0!</v>
      </c>
      <c r="DP19" s="7" t="e">
        <f t="shared" si="38"/>
        <v>#DIV/0!</v>
      </c>
      <c r="DQ19" s="7">
        <f t="shared" si="82"/>
        <v>0</v>
      </c>
      <c r="DR19" s="7" t="e">
        <f t="shared" si="39"/>
        <v>#DIV/0!</v>
      </c>
      <c r="DS19" s="7" t="e">
        <f t="shared" si="40"/>
        <v>#DIV/0!</v>
      </c>
      <c r="DT19" s="7" t="e">
        <f t="shared" si="41"/>
        <v>#DIV/0!</v>
      </c>
      <c r="DU19" s="7">
        <f t="shared" si="83"/>
        <v>0</v>
      </c>
      <c r="DV19" s="7" t="e">
        <f t="shared" si="42"/>
        <v>#DIV/0!</v>
      </c>
      <c r="DW19" s="7" t="e">
        <f t="shared" si="43"/>
        <v>#DIV/0!</v>
      </c>
      <c r="DX19" s="7" t="e">
        <f t="shared" si="44"/>
        <v>#DIV/0!</v>
      </c>
      <c r="DY19" s="7">
        <f t="shared" si="84"/>
        <v>1</v>
      </c>
      <c r="DZ19" s="7" t="e">
        <f t="shared" si="45"/>
        <v>#DIV/0!</v>
      </c>
      <c r="EA19" s="7" t="e">
        <f t="shared" si="46"/>
        <v>#DIV/0!</v>
      </c>
      <c r="EB19" s="7" t="e">
        <f t="shared" si="47"/>
        <v>#DIV/0!</v>
      </c>
      <c r="EC19" s="7">
        <f t="shared" si="85"/>
        <v>0</v>
      </c>
      <c r="ED19" s="7" t="e">
        <f t="shared" si="48"/>
        <v>#DIV/0!</v>
      </c>
      <c r="EE19" s="7" t="e">
        <f t="shared" si="49"/>
        <v>#DIV/0!</v>
      </c>
      <c r="EF19" s="7" t="e">
        <f t="shared" si="50"/>
        <v>#DIV/0!</v>
      </c>
      <c r="EG19" s="7">
        <f t="shared" si="86"/>
        <v>0</v>
      </c>
      <c r="EH19" s="7" t="e">
        <f t="shared" si="51"/>
        <v>#DIV/0!</v>
      </c>
      <c r="EI19" s="7" t="e">
        <f t="shared" si="52"/>
        <v>#DIV/0!</v>
      </c>
      <c r="EJ19" s="7" t="e">
        <f t="shared" si="53"/>
        <v>#DIV/0!</v>
      </c>
      <c r="EK19" s="7">
        <f t="shared" si="87"/>
        <v>1</v>
      </c>
      <c r="EL19" s="7" t="e">
        <f t="shared" si="54"/>
        <v>#DIV/0!</v>
      </c>
      <c r="EM19" s="7"/>
      <c r="EN19" s="63">
        <f t="shared" si="88"/>
        <v>0</v>
      </c>
      <c r="EO19" s="63">
        <f t="shared" si="89"/>
        <v>1</v>
      </c>
      <c r="EP19" s="63" t="str">
        <f t="shared" si="91"/>
        <v>1</v>
      </c>
      <c r="EQ19" s="63" t="str">
        <f t="shared" si="90"/>
        <v>0</v>
      </c>
    </row>
    <row r="20" spans="1:147" x14ac:dyDescent="0.25">
      <c r="A20" s="13"/>
      <c r="B20" s="2"/>
      <c r="C20" s="9"/>
      <c r="D20" s="84" t="s">
        <v>8</v>
      </c>
      <c r="E20" s="84" t="s">
        <v>38</v>
      </c>
      <c r="F20" s="84" t="s">
        <v>31</v>
      </c>
      <c r="G20" s="84" t="s">
        <v>1</v>
      </c>
      <c r="H20" s="16"/>
      <c r="I20" s="6"/>
      <c r="J20" s="6"/>
      <c r="K20" s="6"/>
      <c r="L20" s="6"/>
      <c r="M20" s="19">
        <f t="shared" si="55"/>
        <v>0</v>
      </c>
      <c r="N20" s="19">
        <f t="shared" si="0"/>
        <v>0</v>
      </c>
      <c r="O20" s="9"/>
      <c r="P20" s="9" t="s">
        <v>120</v>
      </c>
      <c r="Q20" s="9" t="s">
        <v>212</v>
      </c>
      <c r="R20" s="9"/>
      <c r="U20" s="4">
        <f t="shared" si="56"/>
        <v>0</v>
      </c>
      <c r="V20" s="8"/>
      <c r="W20" s="8"/>
      <c r="X20" s="8"/>
      <c r="Y20" s="8"/>
      <c r="Z20" s="8"/>
      <c r="AA20" s="8"/>
      <c r="AB20" s="5">
        <f t="shared" si="57"/>
        <v>0</v>
      </c>
      <c r="AC20" s="5">
        <f t="shared" si="58"/>
        <v>0</v>
      </c>
      <c r="AD20" s="5">
        <f t="shared" si="1"/>
        <v>0</v>
      </c>
      <c r="AE20" s="43">
        <f t="shared" si="2"/>
        <v>0</v>
      </c>
      <c r="AF20" s="3">
        <f t="shared" si="59"/>
        <v>0</v>
      </c>
      <c r="AG20" s="3">
        <f t="shared" si="60"/>
        <v>0</v>
      </c>
      <c r="AH20" s="3">
        <f t="shared" si="61"/>
        <v>0</v>
      </c>
      <c r="AI20" s="3">
        <f t="shared" si="62"/>
        <v>0</v>
      </c>
      <c r="AJ20" s="3">
        <f t="shared" si="63"/>
        <v>0</v>
      </c>
      <c r="AK20" s="3">
        <f t="shared" si="64"/>
        <v>0</v>
      </c>
      <c r="AL20" s="3">
        <f t="shared" si="65"/>
        <v>0</v>
      </c>
      <c r="AM20" s="3">
        <f t="shared" si="66"/>
        <v>0</v>
      </c>
      <c r="AN20" s="3">
        <f t="shared" si="67"/>
        <v>0</v>
      </c>
      <c r="AO20" s="54">
        <f t="shared" si="68"/>
        <v>0</v>
      </c>
      <c r="AQ20" t="s">
        <v>42</v>
      </c>
      <c r="AU20" s="104">
        <f t="shared" si="69"/>
        <v>0</v>
      </c>
      <c r="AV20" s="104">
        <f t="shared" si="3"/>
        <v>0</v>
      </c>
      <c r="AW20" s="79"/>
      <c r="AY20" s="10" t="e">
        <f t="shared" si="4"/>
        <v>#DIV/0!</v>
      </c>
      <c r="AZ20" s="10" t="e">
        <f t="shared" si="5"/>
        <v>#DIV/0!</v>
      </c>
      <c r="BA20" s="10" t="e">
        <f t="shared" si="6"/>
        <v>#DIV/0!</v>
      </c>
      <c r="BB20" s="10" t="e">
        <f t="shared" si="7"/>
        <v>#DIV/0!</v>
      </c>
      <c r="BC20" s="10" t="e">
        <f t="shared" si="8"/>
        <v>#DIV/0!</v>
      </c>
      <c r="BD20" s="10" t="e">
        <f t="shared" si="9"/>
        <v>#DIV/0!</v>
      </c>
      <c r="BE20" s="10" t="e">
        <f t="shared" si="10"/>
        <v>#DIV/0!</v>
      </c>
      <c r="BF20" s="10" t="e">
        <f t="shared" si="11"/>
        <v>#DIV/0!</v>
      </c>
      <c r="BG20" s="10" t="e">
        <f t="shared" si="12"/>
        <v>#DIV/0!</v>
      </c>
      <c r="BH20" s="10" t="e">
        <f t="shared" si="70"/>
        <v>#DIV/0!</v>
      </c>
      <c r="BI20" s="10"/>
      <c r="BJ20" s="10"/>
      <c r="BK20" s="10"/>
      <c r="BL20" s="10"/>
      <c r="BM20" s="10"/>
      <c r="BN20" s="113" t="e">
        <f>AR20/VLOOKUP(AP20,References!$A$3:$C$53,2,FALSE)</f>
        <v>#N/A</v>
      </c>
      <c r="BO20" s="113">
        <f t="shared" si="71"/>
        <v>0</v>
      </c>
      <c r="BP20" s="113" t="e">
        <f t="shared" si="13"/>
        <v>#DIV/0!</v>
      </c>
      <c r="BQ20" s="113">
        <f>((R20*(VLOOKUP(Q20,References!$A$57:$D$110,2,FALSE))%)+(S20*(VLOOKUP(Q20,References!$A$57:$D$110,2,FALSE))%)*(CW20+DA20+DM20))</f>
        <v>0</v>
      </c>
      <c r="BR20" s="113">
        <f>((R20*(VLOOKUP(Q20,References!$A$57:$D$110,3,FALSE))%)+(S20*(VLOOKUP(Q20,References!$A$57:$D$110,3,FALSE))%)*(CW20+DA20+DM20))</f>
        <v>0</v>
      </c>
      <c r="BS20" s="113">
        <f>((R20*(VLOOKUP(Q20,References!$A$57:$D$110,4,FALSE))%)+(S20*(VLOOKUP(Q20,References!$A$57:$D$110,4,FALSE))%)*(CW20+DA20+DM20))</f>
        <v>0</v>
      </c>
      <c r="BT20" s="10">
        <f>((((R20+S20)/100)*VLOOKUP(Q20,References!$A$58:$M$110,13,FALSE))*(CW20+DA20+DM20))</f>
        <v>0</v>
      </c>
      <c r="BU20" s="10" t="e">
        <f>(AR20/1000)*VLOOKUP(AP20,References!$A$4:$P$54,11,FALSE)</f>
        <v>#N/A</v>
      </c>
      <c r="BV20" s="10" t="e">
        <f>(AR20/1000)*VLOOKUP(AP20,References!$A$4:$P$54,12,FALSE)</f>
        <v>#N/A</v>
      </c>
      <c r="BW20" s="10" t="e">
        <f>(AR20/1000)*VLOOKUP(AP20,References!$A$4:$P$54,13,FALSE)</f>
        <v>#N/A</v>
      </c>
      <c r="BX20" s="113">
        <f t="shared" si="72"/>
        <v>0</v>
      </c>
      <c r="BY20" s="113">
        <f t="shared" si="73"/>
        <v>0</v>
      </c>
      <c r="BZ20" s="113">
        <f t="shared" si="74"/>
        <v>0</v>
      </c>
      <c r="CA20" s="113" t="e">
        <f t="shared" si="15"/>
        <v>#DIV/0!</v>
      </c>
      <c r="CB20" s="113" t="e">
        <f t="shared" si="16"/>
        <v>#DIV/0!</v>
      </c>
      <c r="CC20" s="113" t="e">
        <f t="shared" si="17"/>
        <v>#DIV/0!</v>
      </c>
      <c r="CD20" s="113" t="e">
        <f t="shared" si="18"/>
        <v>#DIV/0!</v>
      </c>
      <c r="CE20" s="113" t="e">
        <f t="shared" si="19"/>
        <v>#DIV/0!</v>
      </c>
      <c r="CF20" s="113" t="e">
        <f t="shared" si="20"/>
        <v>#DIV/0!</v>
      </c>
      <c r="CG20" s="113"/>
      <c r="CH20" s="113"/>
      <c r="CI20" s="113"/>
      <c r="CJ20" s="113"/>
      <c r="CK20" s="113"/>
      <c r="CL20" s="113"/>
      <c r="CM20" s="113" t="e">
        <f t="shared" si="21"/>
        <v>#DIV/0!</v>
      </c>
      <c r="CN20" s="113" t="e">
        <f>R20*VLOOKUP(Q20,References!$A$86:$E$158,2,FALSE)+S20*VLOOKUP(Q20,References!$A$86:$E$158,2,FALSE)</f>
        <v>#N/A</v>
      </c>
      <c r="CO20" s="113" t="e">
        <f>((VLOOKUP(Q20,References!$A$86:$E$158,3,FALSE)-(CN20/C$7))/(VLOOKUP(Q20,References!$A$86:$E$158,3,FALSE)))</f>
        <v>#N/A</v>
      </c>
      <c r="CP20" s="101" t="e">
        <f t="shared" si="75"/>
        <v>#N/A</v>
      </c>
      <c r="CQ20" s="113">
        <f t="shared" si="76"/>
        <v>0</v>
      </c>
      <c r="CR20" s="113">
        <f t="shared" si="22"/>
        <v>0</v>
      </c>
      <c r="CS20" s="113">
        <f t="shared" si="23"/>
        <v>0</v>
      </c>
      <c r="CT20" s="113"/>
      <c r="CU20" s="10"/>
      <c r="CV20" s="10"/>
      <c r="CW20" s="7">
        <f t="shared" si="77"/>
        <v>0</v>
      </c>
      <c r="CX20" s="7" t="e">
        <f t="shared" si="24"/>
        <v>#DIV/0!</v>
      </c>
      <c r="CY20" s="7" t="e">
        <f t="shared" si="25"/>
        <v>#DIV/0!</v>
      </c>
      <c r="CZ20" s="7" t="e">
        <f t="shared" si="26"/>
        <v>#DIV/0!</v>
      </c>
      <c r="DA20" s="7">
        <f t="shared" si="78"/>
        <v>0</v>
      </c>
      <c r="DB20" s="7" t="e">
        <f t="shared" si="27"/>
        <v>#DIV/0!</v>
      </c>
      <c r="DC20" s="7" t="e">
        <f t="shared" si="28"/>
        <v>#DIV/0!</v>
      </c>
      <c r="DD20" s="7" t="e">
        <f t="shared" si="29"/>
        <v>#DIV/0!</v>
      </c>
      <c r="DE20" s="7">
        <f t="shared" si="79"/>
        <v>0</v>
      </c>
      <c r="DF20" s="7" t="e">
        <f t="shared" si="30"/>
        <v>#DIV/0!</v>
      </c>
      <c r="DG20" s="7" t="e">
        <f t="shared" si="31"/>
        <v>#DIV/0!</v>
      </c>
      <c r="DH20" s="7" t="e">
        <f t="shared" si="32"/>
        <v>#DIV/0!</v>
      </c>
      <c r="DI20" s="7">
        <f t="shared" si="80"/>
        <v>0</v>
      </c>
      <c r="DJ20" s="7" t="e">
        <f t="shared" si="33"/>
        <v>#DIV/0!</v>
      </c>
      <c r="DK20" s="7" t="e">
        <f t="shared" si="34"/>
        <v>#DIV/0!</v>
      </c>
      <c r="DL20" s="7" t="e">
        <f t="shared" si="35"/>
        <v>#DIV/0!</v>
      </c>
      <c r="DM20" s="7">
        <f t="shared" si="81"/>
        <v>0</v>
      </c>
      <c r="DN20" s="7" t="e">
        <f t="shared" si="36"/>
        <v>#DIV/0!</v>
      </c>
      <c r="DO20" s="7" t="e">
        <f t="shared" si="37"/>
        <v>#DIV/0!</v>
      </c>
      <c r="DP20" s="7" t="e">
        <f t="shared" si="38"/>
        <v>#DIV/0!</v>
      </c>
      <c r="DQ20" s="7">
        <f t="shared" si="82"/>
        <v>0</v>
      </c>
      <c r="DR20" s="7" t="e">
        <f t="shared" si="39"/>
        <v>#DIV/0!</v>
      </c>
      <c r="DS20" s="7" t="e">
        <f t="shared" si="40"/>
        <v>#DIV/0!</v>
      </c>
      <c r="DT20" s="7" t="e">
        <f t="shared" si="41"/>
        <v>#DIV/0!</v>
      </c>
      <c r="DU20" s="7">
        <f t="shared" si="83"/>
        <v>0</v>
      </c>
      <c r="DV20" s="7" t="e">
        <f t="shared" si="42"/>
        <v>#DIV/0!</v>
      </c>
      <c r="DW20" s="7" t="e">
        <f t="shared" si="43"/>
        <v>#DIV/0!</v>
      </c>
      <c r="DX20" s="7" t="e">
        <f t="shared" si="44"/>
        <v>#DIV/0!</v>
      </c>
      <c r="DY20" s="7">
        <f t="shared" si="84"/>
        <v>1</v>
      </c>
      <c r="DZ20" s="7" t="e">
        <f t="shared" si="45"/>
        <v>#DIV/0!</v>
      </c>
      <c r="EA20" s="7" t="e">
        <f t="shared" si="46"/>
        <v>#DIV/0!</v>
      </c>
      <c r="EB20" s="7" t="e">
        <f t="shared" si="47"/>
        <v>#DIV/0!</v>
      </c>
      <c r="EC20" s="7">
        <f t="shared" si="85"/>
        <v>0</v>
      </c>
      <c r="ED20" s="7" t="e">
        <f t="shared" si="48"/>
        <v>#DIV/0!</v>
      </c>
      <c r="EE20" s="7" t="e">
        <f t="shared" si="49"/>
        <v>#DIV/0!</v>
      </c>
      <c r="EF20" s="7" t="e">
        <f t="shared" si="50"/>
        <v>#DIV/0!</v>
      </c>
      <c r="EG20" s="7">
        <f t="shared" si="86"/>
        <v>0</v>
      </c>
      <c r="EH20" s="7" t="e">
        <f t="shared" si="51"/>
        <v>#DIV/0!</v>
      </c>
      <c r="EI20" s="7" t="e">
        <f t="shared" si="52"/>
        <v>#DIV/0!</v>
      </c>
      <c r="EJ20" s="7" t="e">
        <f t="shared" si="53"/>
        <v>#DIV/0!</v>
      </c>
      <c r="EK20" s="7">
        <f t="shared" si="87"/>
        <v>1</v>
      </c>
      <c r="EL20" s="7" t="e">
        <f t="shared" si="54"/>
        <v>#DIV/0!</v>
      </c>
      <c r="EM20" s="7"/>
      <c r="EN20" s="63">
        <f t="shared" si="88"/>
        <v>1</v>
      </c>
      <c r="EO20" s="63">
        <f t="shared" si="89"/>
        <v>0</v>
      </c>
      <c r="EP20" s="63" t="str">
        <f t="shared" si="91"/>
        <v>1</v>
      </c>
      <c r="EQ20" s="63" t="str">
        <f t="shared" si="90"/>
        <v>0</v>
      </c>
    </row>
    <row r="21" spans="1:147" x14ac:dyDescent="0.25">
      <c r="A21" s="6"/>
      <c r="B21" s="115"/>
      <c r="C21" s="9"/>
      <c r="D21" s="84" t="s">
        <v>8</v>
      </c>
      <c r="E21" s="84" t="s">
        <v>13</v>
      </c>
      <c r="F21" s="84" t="s">
        <v>31</v>
      </c>
      <c r="G21" s="84" t="s">
        <v>1</v>
      </c>
      <c r="H21" s="16"/>
      <c r="I21" s="6"/>
      <c r="J21" s="6"/>
      <c r="K21" s="6"/>
      <c r="L21" s="6"/>
      <c r="M21" s="19">
        <f t="shared" si="55"/>
        <v>0</v>
      </c>
      <c r="N21" s="19">
        <f t="shared" si="0"/>
        <v>0</v>
      </c>
      <c r="O21" s="9"/>
      <c r="P21" s="9" t="s">
        <v>120</v>
      </c>
      <c r="Q21" s="9" t="s">
        <v>212</v>
      </c>
      <c r="R21" s="9"/>
      <c r="S21" s="8"/>
      <c r="T21" s="8"/>
      <c r="U21" s="4">
        <f t="shared" si="56"/>
        <v>0</v>
      </c>
      <c r="V21" s="8"/>
      <c r="W21" s="8"/>
      <c r="X21" s="8"/>
      <c r="Y21" s="8"/>
      <c r="Z21" s="8"/>
      <c r="AA21" s="8"/>
      <c r="AB21" s="5">
        <f t="shared" si="57"/>
        <v>0</v>
      </c>
      <c r="AC21" s="5">
        <f t="shared" si="58"/>
        <v>0</v>
      </c>
      <c r="AD21" s="5">
        <f t="shared" si="1"/>
        <v>0</v>
      </c>
      <c r="AE21" s="43">
        <f t="shared" si="2"/>
        <v>0</v>
      </c>
      <c r="AF21" s="3">
        <f t="shared" si="59"/>
        <v>0</v>
      </c>
      <c r="AG21" s="3">
        <f t="shared" si="60"/>
        <v>0</v>
      </c>
      <c r="AH21" s="3">
        <f t="shared" si="61"/>
        <v>0</v>
      </c>
      <c r="AI21" s="3">
        <f t="shared" si="62"/>
        <v>0</v>
      </c>
      <c r="AJ21" s="3">
        <f t="shared" si="63"/>
        <v>0</v>
      </c>
      <c r="AK21" s="3">
        <f t="shared" si="64"/>
        <v>0</v>
      </c>
      <c r="AL21" s="3">
        <f t="shared" si="65"/>
        <v>0</v>
      </c>
      <c r="AM21" s="3">
        <f t="shared" si="66"/>
        <v>0</v>
      </c>
      <c r="AN21" s="3">
        <f t="shared" si="67"/>
        <v>0</v>
      </c>
      <c r="AO21" s="54">
        <f t="shared" si="68"/>
        <v>0</v>
      </c>
      <c r="AP21" s="8"/>
      <c r="AQ21" s="29" t="s">
        <v>42</v>
      </c>
      <c r="AR21" s="8"/>
      <c r="AS21" s="8"/>
      <c r="AT21" s="8"/>
      <c r="AU21" s="104">
        <f t="shared" si="69"/>
        <v>0</v>
      </c>
      <c r="AV21" s="104">
        <f t="shared" si="3"/>
        <v>0</v>
      </c>
      <c r="AW21" s="79"/>
      <c r="AY21" s="10" t="e">
        <f t="shared" si="4"/>
        <v>#DIV/0!</v>
      </c>
      <c r="AZ21" s="10" t="e">
        <f t="shared" si="5"/>
        <v>#DIV/0!</v>
      </c>
      <c r="BA21" s="10" t="e">
        <f t="shared" si="6"/>
        <v>#DIV/0!</v>
      </c>
      <c r="BB21" s="10" t="e">
        <f t="shared" si="7"/>
        <v>#DIV/0!</v>
      </c>
      <c r="BC21" s="10" t="e">
        <f t="shared" si="8"/>
        <v>#DIV/0!</v>
      </c>
      <c r="BD21" s="10" t="e">
        <f t="shared" si="9"/>
        <v>#DIV/0!</v>
      </c>
      <c r="BE21" s="10" t="e">
        <f t="shared" si="10"/>
        <v>#DIV/0!</v>
      </c>
      <c r="BF21" s="10" t="e">
        <f t="shared" si="11"/>
        <v>#DIV/0!</v>
      </c>
      <c r="BG21" s="10" t="e">
        <f t="shared" si="12"/>
        <v>#DIV/0!</v>
      </c>
      <c r="BH21" s="10" t="e">
        <f t="shared" si="70"/>
        <v>#DIV/0!</v>
      </c>
      <c r="BI21" s="10"/>
      <c r="BJ21" s="10"/>
      <c r="BK21" s="10"/>
      <c r="BL21" s="10"/>
      <c r="BM21" s="10"/>
      <c r="BN21" s="113" t="e">
        <f>AR21/VLOOKUP(AP21,References!$A$3:$C$53,2,FALSE)</f>
        <v>#N/A</v>
      </c>
      <c r="BO21" s="113">
        <f t="shared" si="71"/>
        <v>0</v>
      </c>
      <c r="BP21" s="113" t="e">
        <f t="shared" si="13"/>
        <v>#DIV/0!</v>
      </c>
      <c r="BQ21" s="113">
        <f>((R21*(VLOOKUP(Q21,References!$A$57:$D$110,2,FALSE))%)+(S21*(VLOOKUP(Q21,References!$A$57:$D$110,2,FALSE))%)*(CW21+DA21+DM21))</f>
        <v>0</v>
      </c>
      <c r="BR21" s="113">
        <f>((R21*(VLOOKUP(Q21,References!$A$57:$D$110,3,FALSE))%)+(S21*(VLOOKUP(Q21,References!$A$57:$D$110,3,FALSE))%)*(CW21+DA21+DM21))</f>
        <v>0</v>
      </c>
      <c r="BS21" s="113">
        <f>((R21*(VLOOKUP(Q21,References!$A$57:$D$110,4,FALSE))%)+(S21*(VLOOKUP(Q21,References!$A$57:$D$110,4,FALSE))%)*(CW21+DA21+DM21))</f>
        <v>0</v>
      </c>
      <c r="BT21" s="10">
        <f>((((R21+S21)/100)*VLOOKUP(Q21,References!$A$58:$M$110,13,FALSE))*(CW21+DA21+DM21))</f>
        <v>0</v>
      </c>
      <c r="BU21" s="10" t="e">
        <f>(AR21/1000)*VLOOKUP(AP21,References!$A$4:$P$54,11,FALSE)</f>
        <v>#N/A</v>
      </c>
      <c r="BV21" s="10" t="e">
        <f>(AR21/1000)*VLOOKUP(AP21,References!$A$4:$P$54,12,FALSE)</f>
        <v>#N/A</v>
      </c>
      <c r="BW21" s="10" t="e">
        <f>(AR21/1000)*VLOOKUP(AP21,References!$A$4:$P$54,13,FALSE)</f>
        <v>#N/A</v>
      </c>
      <c r="BX21" s="113">
        <f t="shared" si="72"/>
        <v>0</v>
      </c>
      <c r="BY21" s="113">
        <f t="shared" si="73"/>
        <v>0</v>
      </c>
      <c r="BZ21" s="113">
        <f t="shared" si="74"/>
        <v>0</v>
      </c>
      <c r="CA21" s="113" t="e">
        <f t="shared" si="15"/>
        <v>#DIV/0!</v>
      </c>
      <c r="CB21" s="113" t="e">
        <f t="shared" si="16"/>
        <v>#DIV/0!</v>
      </c>
      <c r="CC21" s="113" t="e">
        <f t="shared" si="17"/>
        <v>#DIV/0!</v>
      </c>
      <c r="CD21" s="113" t="e">
        <f t="shared" si="18"/>
        <v>#DIV/0!</v>
      </c>
      <c r="CE21" s="113" t="e">
        <f t="shared" si="19"/>
        <v>#DIV/0!</v>
      </c>
      <c r="CF21" s="113" t="e">
        <f t="shared" si="20"/>
        <v>#DIV/0!</v>
      </c>
      <c r="CG21" s="113"/>
      <c r="CH21" s="113"/>
      <c r="CI21" s="113"/>
      <c r="CJ21" s="113"/>
      <c r="CK21" s="113"/>
      <c r="CL21" s="113"/>
      <c r="CM21" s="113" t="e">
        <f t="shared" si="21"/>
        <v>#DIV/0!</v>
      </c>
      <c r="CN21" s="113" t="e">
        <f>R21*VLOOKUP(Q21,References!$A$86:$E$158,2,FALSE)+S21*VLOOKUP(Q21,References!$A$86:$E$158,2,FALSE)</f>
        <v>#N/A</v>
      </c>
      <c r="CO21" s="113" t="e">
        <f>((VLOOKUP(Q21,References!$A$86:$E$158,3,FALSE)-(CN21/C$7))/(VLOOKUP(Q21,References!$A$86:$E$158,3,FALSE)))</f>
        <v>#N/A</v>
      </c>
      <c r="CP21" s="101" t="e">
        <f t="shared" si="75"/>
        <v>#N/A</v>
      </c>
      <c r="CQ21" s="113">
        <f t="shared" si="76"/>
        <v>0</v>
      </c>
      <c r="CR21" s="113">
        <f t="shared" si="22"/>
        <v>0</v>
      </c>
      <c r="CS21" s="113">
        <f t="shared" si="23"/>
        <v>0</v>
      </c>
      <c r="CT21" s="113"/>
      <c r="CU21" s="10"/>
      <c r="CV21" s="10"/>
      <c r="CW21" s="7">
        <f t="shared" si="77"/>
        <v>0</v>
      </c>
      <c r="CX21" s="7" t="e">
        <f t="shared" si="24"/>
        <v>#DIV/0!</v>
      </c>
      <c r="CY21" s="7" t="e">
        <f t="shared" si="25"/>
        <v>#DIV/0!</v>
      </c>
      <c r="CZ21" s="7" t="e">
        <f t="shared" si="26"/>
        <v>#DIV/0!</v>
      </c>
      <c r="DA21" s="7">
        <f t="shared" si="78"/>
        <v>0</v>
      </c>
      <c r="DB21" s="7" t="e">
        <f t="shared" si="27"/>
        <v>#DIV/0!</v>
      </c>
      <c r="DC21" s="7" t="e">
        <f t="shared" si="28"/>
        <v>#DIV/0!</v>
      </c>
      <c r="DD21" s="7" t="e">
        <f t="shared" si="29"/>
        <v>#DIV/0!</v>
      </c>
      <c r="DE21" s="7">
        <f t="shared" si="79"/>
        <v>0</v>
      </c>
      <c r="DF21" s="7" t="e">
        <f t="shared" si="30"/>
        <v>#DIV/0!</v>
      </c>
      <c r="DG21" s="7" t="e">
        <f t="shared" si="31"/>
        <v>#DIV/0!</v>
      </c>
      <c r="DH21" s="7" t="e">
        <f t="shared" si="32"/>
        <v>#DIV/0!</v>
      </c>
      <c r="DI21" s="7">
        <f t="shared" si="80"/>
        <v>0</v>
      </c>
      <c r="DJ21" s="7" t="e">
        <f t="shared" si="33"/>
        <v>#DIV/0!</v>
      </c>
      <c r="DK21" s="7" t="e">
        <f t="shared" si="34"/>
        <v>#DIV/0!</v>
      </c>
      <c r="DL21" s="7" t="e">
        <f t="shared" si="35"/>
        <v>#DIV/0!</v>
      </c>
      <c r="DM21" s="7">
        <f t="shared" si="81"/>
        <v>0</v>
      </c>
      <c r="DN21" s="7" t="e">
        <f t="shared" si="36"/>
        <v>#DIV/0!</v>
      </c>
      <c r="DO21" s="7" t="e">
        <f t="shared" si="37"/>
        <v>#DIV/0!</v>
      </c>
      <c r="DP21" s="7" t="e">
        <f t="shared" si="38"/>
        <v>#DIV/0!</v>
      </c>
      <c r="DQ21" s="7">
        <f t="shared" si="82"/>
        <v>0</v>
      </c>
      <c r="DR21" s="7" t="e">
        <f t="shared" si="39"/>
        <v>#DIV/0!</v>
      </c>
      <c r="DS21" s="7" t="e">
        <f t="shared" si="40"/>
        <v>#DIV/0!</v>
      </c>
      <c r="DT21" s="7" t="e">
        <f t="shared" si="41"/>
        <v>#DIV/0!</v>
      </c>
      <c r="DU21" s="7">
        <f t="shared" si="83"/>
        <v>0</v>
      </c>
      <c r="DV21" s="7" t="e">
        <f t="shared" si="42"/>
        <v>#DIV/0!</v>
      </c>
      <c r="DW21" s="7" t="e">
        <f t="shared" si="43"/>
        <v>#DIV/0!</v>
      </c>
      <c r="DX21" s="7" t="e">
        <f t="shared" si="44"/>
        <v>#DIV/0!</v>
      </c>
      <c r="DY21" s="7">
        <f t="shared" si="84"/>
        <v>1</v>
      </c>
      <c r="DZ21" s="7" t="e">
        <f t="shared" si="45"/>
        <v>#DIV/0!</v>
      </c>
      <c r="EA21" s="7" t="e">
        <f t="shared" si="46"/>
        <v>#DIV/0!</v>
      </c>
      <c r="EB21" s="7" t="e">
        <f t="shared" si="47"/>
        <v>#DIV/0!</v>
      </c>
      <c r="EC21" s="7">
        <f t="shared" si="85"/>
        <v>0</v>
      </c>
      <c r="ED21" s="7" t="e">
        <f t="shared" si="48"/>
        <v>#DIV/0!</v>
      </c>
      <c r="EE21" s="7" t="e">
        <f t="shared" si="49"/>
        <v>#DIV/0!</v>
      </c>
      <c r="EF21" s="7" t="e">
        <f t="shared" si="50"/>
        <v>#DIV/0!</v>
      </c>
      <c r="EG21" s="7">
        <f t="shared" si="86"/>
        <v>0</v>
      </c>
      <c r="EH21" s="7" t="e">
        <f t="shared" si="51"/>
        <v>#DIV/0!</v>
      </c>
      <c r="EI21" s="7" t="e">
        <f t="shared" si="52"/>
        <v>#DIV/0!</v>
      </c>
      <c r="EJ21" s="7" t="e">
        <f t="shared" si="53"/>
        <v>#DIV/0!</v>
      </c>
      <c r="EK21" s="7">
        <f t="shared" si="87"/>
        <v>1</v>
      </c>
      <c r="EL21" s="7" t="e">
        <f t="shared" si="54"/>
        <v>#DIV/0!</v>
      </c>
      <c r="EM21" s="7"/>
      <c r="EN21" s="63">
        <f t="shared" si="88"/>
        <v>0</v>
      </c>
      <c r="EO21" s="63">
        <f t="shared" si="89"/>
        <v>1</v>
      </c>
      <c r="EP21" s="63" t="str">
        <f t="shared" si="91"/>
        <v>1</v>
      </c>
      <c r="EQ21" s="63" t="str">
        <f t="shared" si="90"/>
        <v>0</v>
      </c>
    </row>
    <row r="22" spans="1:147" s="60" customFormat="1" x14ac:dyDescent="0.25">
      <c r="A22" s="6"/>
      <c r="B22" s="115"/>
      <c r="C22" s="9"/>
      <c r="D22" s="84" t="s">
        <v>9</v>
      </c>
      <c r="E22" s="84" t="s">
        <v>38</v>
      </c>
      <c r="F22" s="84" t="s">
        <v>32</v>
      </c>
      <c r="G22" s="84" t="s">
        <v>1</v>
      </c>
      <c r="H22" s="16"/>
      <c r="I22" s="6"/>
      <c r="J22" s="6"/>
      <c r="K22" s="6"/>
      <c r="L22" s="6"/>
      <c r="M22" s="19">
        <f t="shared" ref="M22:M25" si="120">H22*I22</f>
        <v>0</v>
      </c>
      <c r="N22" s="19">
        <f t="shared" ref="N22:N25" si="121">(H22*I22)+(K22*L22)+(J22*L22)</f>
        <v>0</v>
      </c>
      <c r="O22" s="9"/>
      <c r="P22" s="9" t="s">
        <v>120</v>
      </c>
      <c r="Q22" s="9" t="s">
        <v>212</v>
      </c>
      <c r="R22" s="9"/>
      <c r="S22" s="8"/>
      <c r="T22" s="8"/>
      <c r="U22" s="4">
        <f t="shared" ref="U22:U25" si="122">(R22*T22)+(S22*T22)</f>
        <v>0</v>
      </c>
      <c r="V22" s="8"/>
      <c r="W22" s="8"/>
      <c r="X22" s="8"/>
      <c r="Y22" s="8"/>
      <c r="Z22" s="8"/>
      <c r="AA22" s="8"/>
      <c r="AB22" s="5">
        <f t="shared" ref="AB22:AB25" si="123">(V22*X22)+(W22*X22)</f>
        <v>0</v>
      </c>
      <c r="AC22" s="5">
        <f t="shared" ref="AC22:AC25" si="124">(Y22*AA22)+(Z22*AA22)</f>
        <v>0</v>
      </c>
      <c r="AD22" s="5">
        <f t="shared" ref="AD22:AD25" si="125">(V22*X22)+(W22*X22)+(Y22*AA22)+(Z22*AA22)</f>
        <v>0</v>
      </c>
      <c r="AE22" s="43">
        <f t="shared" ref="AE22:AE25" si="126">N22+U22+AD22</f>
        <v>0</v>
      </c>
      <c r="AF22" s="3">
        <f t="shared" ref="AF22:AF25" si="127">(H22*I22)+(K22*L22)</f>
        <v>0</v>
      </c>
      <c r="AG22" s="3">
        <f t="shared" ref="AG22:AG25" si="128">(S22*T22)</f>
        <v>0</v>
      </c>
      <c r="AH22" s="3">
        <f t="shared" ref="AH22:AH25" si="129">(W22*X22)</f>
        <v>0</v>
      </c>
      <c r="AI22" s="3">
        <f t="shared" ref="AI22:AI25" si="130">(Z22*AA22)</f>
        <v>0</v>
      </c>
      <c r="AJ22" s="3">
        <f t="shared" ref="AJ22:AJ25" si="131">(H22*I22)+(K22*L22)+(S22*T22)+(W22*X22)+(Z22*AA22)</f>
        <v>0</v>
      </c>
      <c r="AK22" s="3">
        <f t="shared" ref="AK22:AK25" si="132">(J22*L22)</f>
        <v>0</v>
      </c>
      <c r="AL22" s="3">
        <f t="shared" ref="AL22:AL25" si="133">(R22*T22)</f>
        <v>0</v>
      </c>
      <c r="AM22" s="3">
        <f t="shared" ref="AM22:AM25" si="134">(V22*X22)</f>
        <v>0</v>
      </c>
      <c r="AN22" s="3">
        <f t="shared" ref="AN22:AN25" si="135">(Y22*AA22)</f>
        <v>0</v>
      </c>
      <c r="AO22" s="54">
        <f t="shared" ref="AO22:AO25" si="136">(J22*L22)+(R22*T22)+(V22*X22)+(Y22*AA22)</f>
        <v>0</v>
      </c>
      <c r="AP22" s="8"/>
      <c r="AQ22" s="29" t="s">
        <v>42</v>
      </c>
      <c r="AR22" s="8"/>
      <c r="AS22" s="8"/>
      <c r="AT22" s="8"/>
      <c r="AU22" s="104">
        <f t="shared" ref="AU22:AU25" si="137">AS22*AT22</f>
        <v>0</v>
      </c>
      <c r="AV22" s="104">
        <f t="shared" ref="AV22:AV25" si="138">(AR22*AT22)</f>
        <v>0</v>
      </c>
      <c r="AW22" s="79"/>
      <c r="AX22" s="8"/>
      <c r="AY22" s="10" t="e">
        <f t="shared" si="4"/>
        <v>#DIV/0!</v>
      </c>
      <c r="AZ22" s="10" t="e">
        <f t="shared" si="5"/>
        <v>#DIV/0!</v>
      </c>
      <c r="BA22" s="10" t="e">
        <f t="shared" si="6"/>
        <v>#DIV/0!</v>
      </c>
      <c r="BB22" s="10" t="e">
        <f t="shared" si="7"/>
        <v>#DIV/0!</v>
      </c>
      <c r="BC22" s="10" t="e">
        <f t="shared" si="8"/>
        <v>#DIV/0!</v>
      </c>
      <c r="BD22" s="10" t="e">
        <f t="shared" si="9"/>
        <v>#DIV/0!</v>
      </c>
      <c r="BE22" s="10" t="e">
        <f t="shared" si="10"/>
        <v>#DIV/0!</v>
      </c>
      <c r="BF22" s="10" t="e">
        <f t="shared" si="11"/>
        <v>#DIV/0!</v>
      </c>
      <c r="BG22" s="10" t="e">
        <f t="shared" si="12"/>
        <v>#DIV/0!</v>
      </c>
      <c r="BH22" s="10" t="e">
        <f t="shared" ref="BH22:BH25" si="139">BF22+BG22</f>
        <v>#DIV/0!</v>
      </c>
      <c r="BI22" s="10"/>
      <c r="BJ22" s="10"/>
      <c r="BK22" s="10"/>
      <c r="BL22" s="10"/>
      <c r="BM22" s="10"/>
      <c r="BN22" s="113" t="e">
        <f>AR22/VLOOKUP(AP22,References!$A$3:$C$53,2,FALSE)</f>
        <v>#N/A</v>
      </c>
      <c r="BO22" s="113">
        <f t="shared" si="71"/>
        <v>0</v>
      </c>
      <c r="BP22" s="113" t="e">
        <f t="shared" si="13"/>
        <v>#DIV/0!</v>
      </c>
      <c r="BQ22" s="113">
        <f>((R22*(VLOOKUP(Q22,References!$A$57:$D$110,2,FALSE))%)+(S22*(VLOOKUP(Q22,References!$A$57:$D$110,2,FALSE))%)*(CW22+DA22+DM22))</f>
        <v>0</v>
      </c>
      <c r="BR22" s="113">
        <f>((R22*(VLOOKUP(Q22,References!$A$57:$D$110,3,FALSE))%)+(S22*(VLOOKUP(Q22,References!$A$57:$D$110,3,FALSE))%)*(CW22+DA22+DM22))</f>
        <v>0</v>
      </c>
      <c r="BS22" s="113">
        <f>((R22*(VLOOKUP(Q22,References!$A$57:$D$110,4,FALSE))%)+(S22*(VLOOKUP(Q22,References!$A$57:$D$110,4,FALSE))%)*(CW22+DA22+DM22))</f>
        <v>0</v>
      </c>
      <c r="BT22" s="10">
        <f>((((R22+S22)/100)*VLOOKUP(Q22,References!$A$58:$M$110,13,FALSE))*(CW22+DA22+DM22))</f>
        <v>0</v>
      </c>
      <c r="BU22" s="10" t="e">
        <f>(AR22/1000)*VLOOKUP(AP22,References!$A$4:$P$54,11,FALSE)</f>
        <v>#N/A</v>
      </c>
      <c r="BV22" s="10" t="e">
        <f>(AR22/1000)*VLOOKUP(AP22,References!$A$4:$P$54,12,FALSE)</f>
        <v>#N/A</v>
      </c>
      <c r="BW22" s="10" t="e">
        <f>(AR22/1000)*VLOOKUP(AP22,References!$A$4:$P$54,13,FALSE)</f>
        <v>#N/A</v>
      </c>
      <c r="BX22" s="113">
        <f t="shared" ref="BX22:BX25" si="140">(IF(ISNUMBER(BU22),BU22,0))</f>
        <v>0</v>
      </c>
      <c r="BY22" s="113">
        <f t="shared" ref="BY22:BY25" si="141">(IF(ISNUMBER(BV22),BV22,0))</f>
        <v>0</v>
      </c>
      <c r="BZ22" s="113">
        <f t="shared" ref="BZ22:BZ25" si="142">(IF(ISNUMBER(BW22),BW22,0))</f>
        <v>0</v>
      </c>
      <c r="CA22" s="113" t="e">
        <f t="shared" si="15"/>
        <v>#DIV/0!</v>
      </c>
      <c r="CB22" s="113" t="e">
        <f t="shared" si="16"/>
        <v>#DIV/0!</v>
      </c>
      <c r="CC22" s="113" t="e">
        <f t="shared" si="17"/>
        <v>#DIV/0!</v>
      </c>
      <c r="CD22" s="113" t="e">
        <f t="shared" si="18"/>
        <v>#DIV/0!</v>
      </c>
      <c r="CE22" s="113" t="e">
        <f t="shared" si="19"/>
        <v>#DIV/0!</v>
      </c>
      <c r="CF22" s="113" t="e">
        <f t="shared" si="20"/>
        <v>#DIV/0!</v>
      </c>
      <c r="CG22" s="113"/>
      <c r="CH22" s="113"/>
      <c r="CI22" s="113"/>
      <c r="CJ22" s="113"/>
      <c r="CK22" s="113"/>
      <c r="CL22" s="113"/>
      <c r="CM22" s="113" t="e">
        <f t="shared" si="21"/>
        <v>#DIV/0!</v>
      </c>
      <c r="CN22" s="113" t="e">
        <f>R22*VLOOKUP(Q22,References!$A$86:$E$158,2,FALSE)+S22*VLOOKUP(Q22,References!$A$86:$E$158,2,FALSE)</f>
        <v>#N/A</v>
      </c>
      <c r="CO22" s="113" t="e">
        <f>((VLOOKUP(Q22,References!$A$86:$E$158,3,FALSE)-(CN22/C$7))/(VLOOKUP(Q22,References!$A$86:$E$158,3,FALSE)))</f>
        <v>#N/A</v>
      </c>
      <c r="CP22" s="101" t="e">
        <f t="shared" ref="CP22:CP25" si="143">1-CO22</f>
        <v>#N/A</v>
      </c>
      <c r="CQ22" s="113">
        <f t="shared" ref="CQ22:CQ25" si="144">(IF(ISNUMBER(CN22),CN22,0))</f>
        <v>0</v>
      </c>
      <c r="CR22" s="113">
        <f t="shared" ref="CR22:CR25" si="145">(IF(ISNUMBER(CO22),CO22,0))</f>
        <v>0</v>
      </c>
      <c r="CS22" s="113">
        <f t="shared" ref="CS22:CS25" si="146">(IF(ISNUMBER(CP22),CP22,0))</f>
        <v>0</v>
      </c>
      <c r="CT22" s="113"/>
      <c r="CU22" s="10"/>
      <c r="CV22" s="10"/>
      <c r="CW22" s="52">
        <f t="shared" si="77"/>
        <v>0</v>
      </c>
      <c r="CX22" s="52" t="e">
        <f t="shared" si="24"/>
        <v>#DIV/0!</v>
      </c>
      <c r="CY22" s="52" t="e">
        <f t="shared" si="25"/>
        <v>#DIV/0!</v>
      </c>
      <c r="CZ22" s="52" t="e">
        <f t="shared" si="26"/>
        <v>#DIV/0!</v>
      </c>
      <c r="DA22" s="52">
        <f t="shared" si="78"/>
        <v>0</v>
      </c>
      <c r="DB22" s="52" t="e">
        <f t="shared" si="27"/>
        <v>#DIV/0!</v>
      </c>
      <c r="DC22" s="52" t="e">
        <f t="shared" si="28"/>
        <v>#DIV/0!</v>
      </c>
      <c r="DD22" s="52" t="e">
        <f t="shared" si="29"/>
        <v>#DIV/0!</v>
      </c>
      <c r="DE22" s="52">
        <f t="shared" si="79"/>
        <v>0</v>
      </c>
      <c r="DF22" s="52" t="e">
        <f t="shared" si="30"/>
        <v>#DIV/0!</v>
      </c>
      <c r="DG22" s="52" t="e">
        <f t="shared" si="31"/>
        <v>#DIV/0!</v>
      </c>
      <c r="DH22" s="52" t="e">
        <f t="shared" si="32"/>
        <v>#DIV/0!</v>
      </c>
      <c r="DI22" s="52">
        <f t="shared" si="80"/>
        <v>0</v>
      </c>
      <c r="DJ22" s="52" t="e">
        <f t="shared" si="33"/>
        <v>#DIV/0!</v>
      </c>
      <c r="DK22" s="52" t="e">
        <f t="shared" si="34"/>
        <v>#DIV/0!</v>
      </c>
      <c r="DL22" s="52" t="e">
        <f t="shared" si="35"/>
        <v>#DIV/0!</v>
      </c>
      <c r="DM22" s="52">
        <f t="shared" si="81"/>
        <v>0</v>
      </c>
      <c r="DN22" s="52" t="e">
        <f t="shared" si="36"/>
        <v>#DIV/0!</v>
      </c>
      <c r="DO22" s="52" t="e">
        <f t="shared" si="37"/>
        <v>#DIV/0!</v>
      </c>
      <c r="DP22" s="52" t="e">
        <f t="shared" si="38"/>
        <v>#DIV/0!</v>
      </c>
      <c r="DQ22" s="52">
        <f t="shared" si="82"/>
        <v>0</v>
      </c>
      <c r="DR22" s="52" t="e">
        <f t="shared" si="39"/>
        <v>#DIV/0!</v>
      </c>
      <c r="DS22" s="52" t="e">
        <f t="shared" si="40"/>
        <v>#DIV/0!</v>
      </c>
      <c r="DT22" s="52" t="e">
        <f t="shared" si="41"/>
        <v>#DIV/0!</v>
      </c>
      <c r="DU22" s="52">
        <f t="shared" si="83"/>
        <v>0</v>
      </c>
      <c r="DV22" s="52" t="e">
        <f t="shared" si="42"/>
        <v>#DIV/0!</v>
      </c>
      <c r="DW22" s="52" t="e">
        <f t="shared" si="43"/>
        <v>#DIV/0!</v>
      </c>
      <c r="DX22" s="52" t="e">
        <f t="shared" si="44"/>
        <v>#DIV/0!</v>
      </c>
      <c r="DY22" s="52">
        <f t="shared" si="84"/>
        <v>0</v>
      </c>
      <c r="DZ22" s="52" t="e">
        <f t="shared" si="45"/>
        <v>#DIV/0!</v>
      </c>
      <c r="EA22" s="52" t="e">
        <f t="shared" si="46"/>
        <v>#DIV/0!</v>
      </c>
      <c r="EB22" s="52" t="e">
        <f t="shared" si="47"/>
        <v>#DIV/0!</v>
      </c>
      <c r="EC22" s="52">
        <f t="shared" si="85"/>
        <v>1</v>
      </c>
      <c r="ED22" s="52" t="e">
        <f t="shared" si="48"/>
        <v>#DIV/0!</v>
      </c>
      <c r="EE22" s="52" t="e">
        <f t="shared" si="49"/>
        <v>#DIV/0!</v>
      </c>
      <c r="EF22" s="52" t="e">
        <f t="shared" si="50"/>
        <v>#DIV/0!</v>
      </c>
      <c r="EG22" s="52">
        <f t="shared" si="86"/>
        <v>0</v>
      </c>
      <c r="EH22" s="52" t="e">
        <f t="shared" si="51"/>
        <v>#DIV/0!</v>
      </c>
      <c r="EI22" s="52" t="e">
        <f t="shared" si="52"/>
        <v>#DIV/0!</v>
      </c>
      <c r="EJ22" s="52" t="e">
        <f t="shared" si="53"/>
        <v>#DIV/0!</v>
      </c>
      <c r="EK22" s="52">
        <f t="shared" si="87"/>
        <v>1</v>
      </c>
      <c r="EL22" s="52" t="e">
        <f t="shared" si="54"/>
        <v>#DIV/0!</v>
      </c>
      <c r="EM22" s="52"/>
      <c r="EN22" s="64">
        <f t="shared" si="88"/>
        <v>1</v>
      </c>
      <c r="EO22" s="64">
        <f t="shared" si="89"/>
        <v>0</v>
      </c>
      <c r="EP22" s="64" t="str">
        <f t="shared" si="91"/>
        <v>1</v>
      </c>
      <c r="EQ22" s="64" t="str">
        <f t="shared" si="90"/>
        <v>0</v>
      </c>
    </row>
    <row r="23" spans="1:147" s="60" customFormat="1" x14ac:dyDescent="0.25">
      <c r="A23" s="6"/>
      <c r="B23" s="115"/>
      <c r="C23" s="9"/>
      <c r="D23" s="84" t="s">
        <v>8</v>
      </c>
      <c r="E23" s="84" t="s">
        <v>38</v>
      </c>
      <c r="F23" s="84" t="s">
        <v>31</v>
      </c>
      <c r="G23" s="84" t="s">
        <v>1</v>
      </c>
      <c r="H23" s="16"/>
      <c r="I23" s="6"/>
      <c r="J23" s="6"/>
      <c r="K23" s="6"/>
      <c r="L23" s="6"/>
      <c r="M23" s="19">
        <f t="shared" si="120"/>
        <v>0</v>
      </c>
      <c r="N23" s="19">
        <f t="shared" si="121"/>
        <v>0</v>
      </c>
      <c r="O23" s="9"/>
      <c r="P23" s="9" t="s">
        <v>120</v>
      </c>
      <c r="Q23" s="9" t="s">
        <v>212</v>
      </c>
      <c r="R23" s="9"/>
      <c r="S23" s="8"/>
      <c r="T23" s="8"/>
      <c r="U23" s="4">
        <f t="shared" si="122"/>
        <v>0</v>
      </c>
      <c r="V23" s="8"/>
      <c r="W23" s="8"/>
      <c r="X23" s="8"/>
      <c r="Y23" s="8"/>
      <c r="Z23" s="8"/>
      <c r="AA23" s="8"/>
      <c r="AB23" s="5">
        <f t="shared" si="123"/>
        <v>0</v>
      </c>
      <c r="AC23" s="5">
        <f t="shared" si="124"/>
        <v>0</v>
      </c>
      <c r="AD23" s="5">
        <f t="shared" si="125"/>
        <v>0</v>
      </c>
      <c r="AE23" s="43">
        <f t="shared" si="126"/>
        <v>0</v>
      </c>
      <c r="AF23" s="3">
        <f t="shared" si="127"/>
        <v>0</v>
      </c>
      <c r="AG23" s="3">
        <f t="shared" si="128"/>
        <v>0</v>
      </c>
      <c r="AH23" s="3">
        <f t="shared" si="129"/>
        <v>0</v>
      </c>
      <c r="AI23" s="3">
        <f t="shared" si="130"/>
        <v>0</v>
      </c>
      <c r="AJ23" s="3">
        <f t="shared" si="131"/>
        <v>0</v>
      </c>
      <c r="AK23" s="3">
        <f t="shared" si="132"/>
        <v>0</v>
      </c>
      <c r="AL23" s="3">
        <f t="shared" si="133"/>
        <v>0</v>
      </c>
      <c r="AM23" s="3">
        <f t="shared" si="134"/>
        <v>0</v>
      </c>
      <c r="AN23" s="3">
        <f t="shared" si="135"/>
        <v>0</v>
      </c>
      <c r="AO23" s="54">
        <f t="shared" si="136"/>
        <v>0</v>
      </c>
      <c r="AP23" s="8"/>
      <c r="AQ23" s="29" t="s">
        <v>42</v>
      </c>
      <c r="AR23" s="8"/>
      <c r="AS23" s="8"/>
      <c r="AT23" s="8"/>
      <c r="AU23" s="104">
        <f t="shared" si="137"/>
        <v>0</v>
      </c>
      <c r="AV23" s="104">
        <f t="shared" si="138"/>
        <v>0</v>
      </c>
      <c r="AW23" s="79"/>
      <c r="AX23" s="8"/>
      <c r="AY23" s="10" t="e">
        <f t="shared" si="4"/>
        <v>#DIV/0!</v>
      </c>
      <c r="AZ23" s="10" t="e">
        <f t="shared" si="5"/>
        <v>#DIV/0!</v>
      </c>
      <c r="BA23" s="10" t="e">
        <f t="shared" si="6"/>
        <v>#DIV/0!</v>
      </c>
      <c r="BB23" s="10" t="e">
        <f t="shared" si="7"/>
        <v>#DIV/0!</v>
      </c>
      <c r="BC23" s="10" t="e">
        <f t="shared" si="8"/>
        <v>#DIV/0!</v>
      </c>
      <c r="BD23" s="10" t="e">
        <f t="shared" si="9"/>
        <v>#DIV/0!</v>
      </c>
      <c r="BE23" s="10" t="e">
        <f t="shared" si="10"/>
        <v>#DIV/0!</v>
      </c>
      <c r="BF23" s="10" t="e">
        <f t="shared" si="11"/>
        <v>#DIV/0!</v>
      </c>
      <c r="BG23" s="10" t="e">
        <f t="shared" si="12"/>
        <v>#DIV/0!</v>
      </c>
      <c r="BH23" s="10" t="e">
        <f t="shared" si="139"/>
        <v>#DIV/0!</v>
      </c>
      <c r="BI23" s="10"/>
      <c r="BJ23" s="10"/>
      <c r="BK23" s="10"/>
      <c r="BL23" s="10"/>
      <c r="BM23" s="10"/>
      <c r="BN23" s="113" t="e">
        <f>AR23/VLOOKUP(AP23,References!$A$3:$C$53,2,FALSE)</f>
        <v>#N/A</v>
      </c>
      <c r="BO23" s="113">
        <f t="shared" si="71"/>
        <v>0</v>
      </c>
      <c r="BP23" s="113" t="e">
        <f t="shared" si="13"/>
        <v>#DIV/0!</v>
      </c>
      <c r="BQ23" s="113">
        <f>((R23*(VLOOKUP(Q23,References!$A$57:$D$110,2,FALSE))%)+(S23*(VLOOKUP(Q23,References!$A$57:$D$110,2,FALSE))%)*(CW23+DA23+DM23))</f>
        <v>0</v>
      </c>
      <c r="BR23" s="113">
        <f>((R23*(VLOOKUP(Q23,References!$A$57:$D$110,3,FALSE))%)+(S23*(VLOOKUP(Q23,References!$A$57:$D$110,3,FALSE))%)*(CW23+DA23+DM23))</f>
        <v>0</v>
      </c>
      <c r="BS23" s="113">
        <f>((R23*(VLOOKUP(Q23,References!$A$57:$D$110,4,FALSE))%)+(S23*(VLOOKUP(Q23,References!$A$57:$D$110,4,FALSE))%)*(CW23+DA23+DM23))</f>
        <v>0</v>
      </c>
      <c r="BT23" s="10">
        <f>((((R23+S23)/100)*VLOOKUP(Q23,References!$A$58:$M$110,13,FALSE))*(CW23+DA23+DM23))</f>
        <v>0</v>
      </c>
      <c r="BU23" s="10" t="e">
        <f>(AR23/1000)*VLOOKUP(AP23,References!$A$4:$P$54,11,FALSE)</f>
        <v>#N/A</v>
      </c>
      <c r="BV23" s="10" t="e">
        <f>(AR23/1000)*VLOOKUP(AP23,References!$A$4:$P$54,12,FALSE)</f>
        <v>#N/A</v>
      </c>
      <c r="BW23" s="10" t="e">
        <f>(AR23/1000)*VLOOKUP(AP23,References!$A$4:$P$54,13,FALSE)</f>
        <v>#N/A</v>
      </c>
      <c r="BX23" s="113">
        <f t="shared" si="140"/>
        <v>0</v>
      </c>
      <c r="BY23" s="113">
        <f t="shared" si="141"/>
        <v>0</v>
      </c>
      <c r="BZ23" s="113">
        <f t="shared" si="142"/>
        <v>0</v>
      </c>
      <c r="CA23" s="113" t="e">
        <f t="shared" si="15"/>
        <v>#DIV/0!</v>
      </c>
      <c r="CB23" s="113" t="e">
        <f t="shared" si="16"/>
        <v>#DIV/0!</v>
      </c>
      <c r="CC23" s="113" t="e">
        <f t="shared" si="17"/>
        <v>#DIV/0!</v>
      </c>
      <c r="CD23" s="113" t="e">
        <f t="shared" si="18"/>
        <v>#DIV/0!</v>
      </c>
      <c r="CE23" s="113" t="e">
        <f t="shared" si="19"/>
        <v>#DIV/0!</v>
      </c>
      <c r="CF23" s="113" t="e">
        <f t="shared" si="20"/>
        <v>#DIV/0!</v>
      </c>
      <c r="CG23" s="113"/>
      <c r="CH23" s="113"/>
      <c r="CI23" s="113"/>
      <c r="CJ23" s="113"/>
      <c r="CK23" s="113"/>
      <c r="CL23" s="113"/>
      <c r="CM23" s="113" t="e">
        <f t="shared" si="21"/>
        <v>#DIV/0!</v>
      </c>
      <c r="CN23" s="113" t="e">
        <f>R23*VLOOKUP(Q23,References!$A$86:$E$158,2,FALSE)+S23*VLOOKUP(Q23,References!$A$86:$E$158,2,FALSE)</f>
        <v>#N/A</v>
      </c>
      <c r="CO23" s="113" t="e">
        <f>((VLOOKUP(Q23,References!$A$86:$E$158,3,FALSE)-(CN23/C$7))/(VLOOKUP(Q23,References!$A$86:$E$158,3,FALSE)))</f>
        <v>#N/A</v>
      </c>
      <c r="CP23" s="101" t="e">
        <f t="shared" si="143"/>
        <v>#N/A</v>
      </c>
      <c r="CQ23" s="113">
        <f t="shared" si="144"/>
        <v>0</v>
      </c>
      <c r="CR23" s="113">
        <f t="shared" si="145"/>
        <v>0</v>
      </c>
      <c r="CS23" s="113">
        <f t="shared" si="146"/>
        <v>0</v>
      </c>
      <c r="CT23" s="113"/>
      <c r="CU23" s="10"/>
      <c r="CV23" s="10"/>
      <c r="CW23" s="52">
        <f t="shared" si="77"/>
        <v>0</v>
      </c>
      <c r="CX23" s="52" t="e">
        <f t="shared" si="24"/>
        <v>#DIV/0!</v>
      </c>
      <c r="CY23" s="52" t="e">
        <f t="shared" si="25"/>
        <v>#DIV/0!</v>
      </c>
      <c r="CZ23" s="52" t="e">
        <f t="shared" si="26"/>
        <v>#DIV/0!</v>
      </c>
      <c r="DA23" s="52">
        <f t="shared" si="78"/>
        <v>0</v>
      </c>
      <c r="DB23" s="52" t="e">
        <f t="shared" si="27"/>
        <v>#DIV/0!</v>
      </c>
      <c r="DC23" s="52" t="e">
        <f t="shared" si="28"/>
        <v>#DIV/0!</v>
      </c>
      <c r="DD23" s="52" t="e">
        <f t="shared" si="29"/>
        <v>#DIV/0!</v>
      </c>
      <c r="DE23" s="52">
        <f t="shared" si="79"/>
        <v>0</v>
      </c>
      <c r="DF23" s="52" t="e">
        <f t="shared" si="30"/>
        <v>#DIV/0!</v>
      </c>
      <c r="DG23" s="52" t="e">
        <f t="shared" si="31"/>
        <v>#DIV/0!</v>
      </c>
      <c r="DH23" s="52" t="e">
        <f t="shared" si="32"/>
        <v>#DIV/0!</v>
      </c>
      <c r="DI23" s="52">
        <f t="shared" si="80"/>
        <v>0</v>
      </c>
      <c r="DJ23" s="52" t="e">
        <f t="shared" si="33"/>
        <v>#DIV/0!</v>
      </c>
      <c r="DK23" s="52" t="e">
        <f t="shared" si="34"/>
        <v>#DIV/0!</v>
      </c>
      <c r="DL23" s="52" t="e">
        <f t="shared" si="35"/>
        <v>#DIV/0!</v>
      </c>
      <c r="DM23" s="52">
        <f t="shared" si="81"/>
        <v>0</v>
      </c>
      <c r="DN23" s="52" t="e">
        <f t="shared" si="36"/>
        <v>#DIV/0!</v>
      </c>
      <c r="DO23" s="52" t="e">
        <f t="shared" si="37"/>
        <v>#DIV/0!</v>
      </c>
      <c r="DP23" s="52" t="e">
        <f t="shared" si="38"/>
        <v>#DIV/0!</v>
      </c>
      <c r="DQ23" s="52">
        <f t="shared" si="82"/>
        <v>0</v>
      </c>
      <c r="DR23" s="52" t="e">
        <f t="shared" si="39"/>
        <v>#DIV/0!</v>
      </c>
      <c r="DS23" s="52" t="e">
        <f t="shared" si="40"/>
        <v>#DIV/0!</v>
      </c>
      <c r="DT23" s="52" t="e">
        <f t="shared" si="41"/>
        <v>#DIV/0!</v>
      </c>
      <c r="DU23" s="52">
        <f t="shared" si="83"/>
        <v>0</v>
      </c>
      <c r="DV23" s="52" t="e">
        <f t="shared" si="42"/>
        <v>#DIV/0!</v>
      </c>
      <c r="DW23" s="52" t="e">
        <f t="shared" si="43"/>
        <v>#DIV/0!</v>
      </c>
      <c r="DX23" s="52" t="e">
        <f t="shared" si="44"/>
        <v>#DIV/0!</v>
      </c>
      <c r="DY23" s="52">
        <f t="shared" si="84"/>
        <v>1</v>
      </c>
      <c r="DZ23" s="52" t="e">
        <f t="shared" si="45"/>
        <v>#DIV/0!</v>
      </c>
      <c r="EA23" s="52" t="e">
        <f t="shared" si="46"/>
        <v>#DIV/0!</v>
      </c>
      <c r="EB23" s="52" t="e">
        <f t="shared" si="47"/>
        <v>#DIV/0!</v>
      </c>
      <c r="EC23" s="52">
        <f t="shared" si="85"/>
        <v>0</v>
      </c>
      <c r="ED23" s="52" t="e">
        <f t="shared" si="48"/>
        <v>#DIV/0!</v>
      </c>
      <c r="EE23" s="52" t="e">
        <f t="shared" si="49"/>
        <v>#DIV/0!</v>
      </c>
      <c r="EF23" s="52" t="e">
        <f t="shared" si="50"/>
        <v>#DIV/0!</v>
      </c>
      <c r="EG23" s="52">
        <f t="shared" si="86"/>
        <v>0</v>
      </c>
      <c r="EH23" s="52" t="e">
        <f t="shared" si="51"/>
        <v>#DIV/0!</v>
      </c>
      <c r="EI23" s="52" t="e">
        <f t="shared" si="52"/>
        <v>#DIV/0!</v>
      </c>
      <c r="EJ23" s="52" t="e">
        <f t="shared" si="53"/>
        <v>#DIV/0!</v>
      </c>
      <c r="EK23" s="52">
        <f t="shared" si="87"/>
        <v>1</v>
      </c>
      <c r="EL23" s="52" t="e">
        <f t="shared" si="54"/>
        <v>#DIV/0!</v>
      </c>
      <c r="EM23" s="52"/>
      <c r="EN23" s="64">
        <f t="shared" si="88"/>
        <v>1</v>
      </c>
      <c r="EO23" s="64">
        <f t="shared" si="89"/>
        <v>0</v>
      </c>
      <c r="EP23" s="64" t="str">
        <f t="shared" si="91"/>
        <v>1</v>
      </c>
      <c r="EQ23" s="64" t="str">
        <f t="shared" si="90"/>
        <v>0</v>
      </c>
    </row>
    <row r="24" spans="1:147" s="60" customFormat="1" x14ac:dyDescent="0.25">
      <c r="A24" s="6"/>
      <c r="B24" s="115"/>
      <c r="C24" s="9"/>
      <c r="D24" s="84" t="s">
        <v>9</v>
      </c>
      <c r="E24" s="84" t="s">
        <v>13</v>
      </c>
      <c r="F24" s="84" t="s">
        <v>32</v>
      </c>
      <c r="G24" s="84" t="s">
        <v>1</v>
      </c>
      <c r="H24" s="16"/>
      <c r="I24" s="6"/>
      <c r="J24" s="6"/>
      <c r="K24" s="6"/>
      <c r="L24" s="6"/>
      <c r="M24" s="19">
        <f t="shared" si="120"/>
        <v>0</v>
      </c>
      <c r="N24" s="19">
        <f t="shared" si="121"/>
        <v>0</v>
      </c>
      <c r="O24" s="9"/>
      <c r="P24" s="9" t="s">
        <v>120</v>
      </c>
      <c r="Q24" s="9" t="s">
        <v>212</v>
      </c>
      <c r="R24" s="9"/>
      <c r="S24" s="8"/>
      <c r="T24" s="8"/>
      <c r="U24" s="4">
        <f t="shared" si="122"/>
        <v>0</v>
      </c>
      <c r="V24" s="8"/>
      <c r="W24" s="8"/>
      <c r="X24" s="8"/>
      <c r="Y24" s="8"/>
      <c r="Z24" s="8"/>
      <c r="AA24" s="8"/>
      <c r="AB24" s="5">
        <f t="shared" si="123"/>
        <v>0</v>
      </c>
      <c r="AC24" s="5">
        <f t="shared" si="124"/>
        <v>0</v>
      </c>
      <c r="AD24" s="5">
        <f t="shared" si="125"/>
        <v>0</v>
      </c>
      <c r="AE24" s="43">
        <f t="shared" si="126"/>
        <v>0</v>
      </c>
      <c r="AF24" s="3">
        <f t="shared" si="127"/>
        <v>0</v>
      </c>
      <c r="AG24" s="3">
        <f t="shared" si="128"/>
        <v>0</v>
      </c>
      <c r="AH24" s="3">
        <f t="shared" si="129"/>
        <v>0</v>
      </c>
      <c r="AI24" s="3">
        <f t="shared" si="130"/>
        <v>0</v>
      </c>
      <c r="AJ24" s="3">
        <f t="shared" si="131"/>
        <v>0</v>
      </c>
      <c r="AK24" s="3">
        <f t="shared" si="132"/>
        <v>0</v>
      </c>
      <c r="AL24" s="3">
        <f t="shared" si="133"/>
        <v>0</v>
      </c>
      <c r="AM24" s="3">
        <f t="shared" si="134"/>
        <v>0</v>
      </c>
      <c r="AN24" s="3">
        <f t="shared" si="135"/>
        <v>0</v>
      </c>
      <c r="AO24" s="54">
        <f t="shared" si="136"/>
        <v>0</v>
      </c>
      <c r="AP24" s="8"/>
      <c r="AQ24" s="29" t="s">
        <v>42</v>
      </c>
      <c r="AR24" s="8"/>
      <c r="AS24" s="8"/>
      <c r="AT24" s="8"/>
      <c r="AU24" s="104">
        <f t="shared" si="137"/>
        <v>0</v>
      </c>
      <c r="AV24" s="104">
        <f t="shared" si="138"/>
        <v>0</v>
      </c>
      <c r="AW24" s="79"/>
      <c r="AX24" s="8"/>
      <c r="AY24" s="10" t="e">
        <f t="shared" si="4"/>
        <v>#DIV/0!</v>
      </c>
      <c r="AZ24" s="10" t="e">
        <f t="shared" si="5"/>
        <v>#DIV/0!</v>
      </c>
      <c r="BA24" s="10" t="e">
        <f t="shared" si="6"/>
        <v>#DIV/0!</v>
      </c>
      <c r="BB24" s="10" t="e">
        <f t="shared" si="7"/>
        <v>#DIV/0!</v>
      </c>
      <c r="BC24" s="10" t="e">
        <f t="shared" si="8"/>
        <v>#DIV/0!</v>
      </c>
      <c r="BD24" s="10" t="e">
        <f t="shared" si="9"/>
        <v>#DIV/0!</v>
      </c>
      <c r="BE24" s="10" t="e">
        <f t="shared" si="10"/>
        <v>#DIV/0!</v>
      </c>
      <c r="BF24" s="10" t="e">
        <f t="shared" si="11"/>
        <v>#DIV/0!</v>
      </c>
      <c r="BG24" s="10" t="e">
        <f t="shared" si="12"/>
        <v>#DIV/0!</v>
      </c>
      <c r="BH24" s="10" t="e">
        <f t="shared" si="139"/>
        <v>#DIV/0!</v>
      </c>
      <c r="BI24" s="10"/>
      <c r="BJ24" s="10"/>
      <c r="BK24" s="10"/>
      <c r="BL24" s="10"/>
      <c r="BM24" s="10"/>
      <c r="BN24" s="113" t="e">
        <f>AR24/VLOOKUP(AP24,References!$A$3:$C$53,2,FALSE)</f>
        <v>#N/A</v>
      </c>
      <c r="BO24" s="113">
        <f t="shared" si="71"/>
        <v>0</v>
      </c>
      <c r="BP24" s="113" t="e">
        <f t="shared" si="13"/>
        <v>#DIV/0!</v>
      </c>
      <c r="BQ24" s="113">
        <f>((R24*(VLOOKUP(Q24,References!$A$57:$D$110,2,FALSE))%)+(S24*(VLOOKUP(Q24,References!$A$57:$D$110,2,FALSE))%)*(CW24+DA24+DM24))</f>
        <v>0</v>
      </c>
      <c r="BR24" s="113">
        <f>((R24*(VLOOKUP(Q24,References!$A$57:$D$110,3,FALSE))%)+(S24*(VLOOKUP(Q24,References!$A$57:$D$110,3,FALSE))%)*(CW24+DA24+DM24))</f>
        <v>0</v>
      </c>
      <c r="BS24" s="113">
        <f>((R24*(VLOOKUP(Q24,References!$A$57:$D$110,4,FALSE))%)+(S24*(VLOOKUP(Q24,References!$A$57:$D$110,4,FALSE))%)*(CW24+DA24+DM24))</f>
        <v>0</v>
      </c>
      <c r="BT24" s="10">
        <f>((((R24+S24)/100)*VLOOKUP(Q24,References!$A$58:$M$110,13,FALSE))*(CW24+DA24+DM24))</f>
        <v>0</v>
      </c>
      <c r="BU24" s="10" t="e">
        <f>(AR24/1000)*VLOOKUP(AP24,References!$A$4:$P$54,11,FALSE)</f>
        <v>#N/A</v>
      </c>
      <c r="BV24" s="10" t="e">
        <f>(AR24/1000)*VLOOKUP(AP24,References!$A$4:$P$54,12,FALSE)</f>
        <v>#N/A</v>
      </c>
      <c r="BW24" s="10" t="e">
        <f>(AR24/1000)*VLOOKUP(AP24,References!$A$4:$P$54,13,FALSE)</f>
        <v>#N/A</v>
      </c>
      <c r="BX24" s="113">
        <f t="shared" si="140"/>
        <v>0</v>
      </c>
      <c r="BY24" s="113">
        <f t="shared" si="141"/>
        <v>0</v>
      </c>
      <c r="BZ24" s="113">
        <f t="shared" si="142"/>
        <v>0</v>
      </c>
      <c r="CA24" s="113" t="e">
        <f t="shared" si="15"/>
        <v>#DIV/0!</v>
      </c>
      <c r="CB24" s="113" t="e">
        <f t="shared" si="16"/>
        <v>#DIV/0!</v>
      </c>
      <c r="CC24" s="113" t="e">
        <f t="shared" si="17"/>
        <v>#DIV/0!</v>
      </c>
      <c r="CD24" s="113" t="e">
        <f t="shared" si="18"/>
        <v>#DIV/0!</v>
      </c>
      <c r="CE24" s="113" t="e">
        <f t="shared" si="19"/>
        <v>#DIV/0!</v>
      </c>
      <c r="CF24" s="113" t="e">
        <f t="shared" si="20"/>
        <v>#DIV/0!</v>
      </c>
      <c r="CG24" s="113"/>
      <c r="CH24" s="113"/>
      <c r="CI24" s="113"/>
      <c r="CJ24" s="113"/>
      <c r="CK24" s="113"/>
      <c r="CL24" s="113"/>
      <c r="CM24" s="113" t="e">
        <f t="shared" si="21"/>
        <v>#DIV/0!</v>
      </c>
      <c r="CN24" s="113" t="e">
        <f>R24*VLOOKUP(Q24,References!$A$86:$E$158,2,FALSE)+S24*VLOOKUP(Q24,References!$A$86:$E$158,2,FALSE)</f>
        <v>#N/A</v>
      </c>
      <c r="CO24" s="113" t="e">
        <f>((VLOOKUP(Q24,References!$A$86:$E$158,3,FALSE)-(CN24/C$7))/(VLOOKUP(Q24,References!$A$86:$E$158,3,FALSE)))</f>
        <v>#N/A</v>
      </c>
      <c r="CP24" s="101" t="e">
        <f t="shared" si="143"/>
        <v>#N/A</v>
      </c>
      <c r="CQ24" s="113">
        <f t="shared" si="144"/>
        <v>0</v>
      </c>
      <c r="CR24" s="113">
        <f t="shared" si="145"/>
        <v>0</v>
      </c>
      <c r="CS24" s="113">
        <f t="shared" si="146"/>
        <v>0</v>
      </c>
      <c r="CT24" s="113"/>
      <c r="CU24" s="10"/>
      <c r="CV24" s="10"/>
      <c r="CW24" s="52">
        <f t="shared" si="77"/>
        <v>0</v>
      </c>
      <c r="CX24" s="52" t="e">
        <f t="shared" si="24"/>
        <v>#DIV/0!</v>
      </c>
      <c r="CY24" s="52" t="e">
        <f t="shared" si="25"/>
        <v>#DIV/0!</v>
      </c>
      <c r="CZ24" s="52" t="e">
        <f t="shared" si="26"/>
        <v>#DIV/0!</v>
      </c>
      <c r="DA24" s="52">
        <f t="shared" si="78"/>
        <v>0</v>
      </c>
      <c r="DB24" s="52" t="e">
        <f t="shared" si="27"/>
        <v>#DIV/0!</v>
      </c>
      <c r="DC24" s="52" t="e">
        <f t="shared" si="28"/>
        <v>#DIV/0!</v>
      </c>
      <c r="DD24" s="52" t="e">
        <f t="shared" si="29"/>
        <v>#DIV/0!</v>
      </c>
      <c r="DE24" s="52">
        <f t="shared" si="79"/>
        <v>0</v>
      </c>
      <c r="DF24" s="52" t="e">
        <f t="shared" si="30"/>
        <v>#DIV/0!</v>
      </c>
      <c r="DG24" s="52" t="e">
        <f t="shared" si="31"/>
        <v>#DIV/0!</v>
      </c>
      <c r="DH24" s="52" t="e">
        <f t="shared" si="32"/>
        <v>#DIV/0!</v>
      </c>
      <c r="DI24" s="52">
        <f t="shared" si="80"/>
        <v>0</v>
      </c>
      <c r="DJ24" s="52" t="e">
        <f t="shared" si="33"/>
        <v>#DIV/0!</v>
      </c>
      <c r="DK24" s="52" t="e">
        <f t="shared" si="34"/>
        <v>#DIV/0!</v>
      </c>
      <c r="DL24" s="52" t="e">
        <f t="shared" si="35"/>
        <v>#DIV/0!</v>
      </c>
      <c r="DM24" s="52">
        <f t="shared" si="81"/>
        <v>0</v>
      </c>
      <c r="DN24" s="52" t="e">
        <f t="shared" si="36"/>
        <v>#DIV/0!</v>
      </c>
      <c r="DO24" s="52" t="e">
        <f t="shared" si="37"/>
        <v>#DIV/0!</v>
      </c>
      <c r="DP24" s="52" t="e">
        <f t="shared" si="38"/>
        <v>#DIV/0!</v>
      </c>
      <c r="DQ24" s="52">
        <f t="shared" si="82"/>
        <v>0</v>
      </c>
      <c r="DR24" s="52" t="e">
        <f t="shared" si="39"/>
        <v>#DIV/0!</v>
      </c>
      <c r="DS24" s="52" t="e">
        <f t="shared" si="40"/>
        <v>#DIV/0!</v>
      </c>
      <c r="DT24" s="52" t="e">
        <f t="shared" si="41"/>
        <v>#DIV/0!</v>
      </c>
      <c r="DU24" s="52">
        <f t="shared" si="83"/>
        <v>0</v>
      </c>
      <c r="DV24" s="52" t="e">
        <f t="shared" si="42"/>
        <v>#DIV/0!</v>
      </c>
      <c r="DW24" s="52" t="e">
        <f t="shared" si="43"/>
        <v>#DIV/0!</v>
      </c>
      <c r="DX24" s="52" t="e">
        <f t="shared" si="44"/>
        <v>#DIV/0!</v>
      </c>
      <c r="DY24" s="52">
        <f t="shared" si="84"/>
        <v>0</v>
      </c>
      <c r="DZ24" s="52" t="e">
        <f t="shared" si="45"/>
        <v>#DIV/0!</v>
      </c>
      <c r="EA24" s="52" t="e">
        <f t="shared" si="46"/>
        <v>#DIV/0!</v>
      </c>
      <c r="EB24" s="52" t="e">
        <f t="shared" si="47"/>
        <v>#DIV/0!</v>
      </c>
      <c r="EC24" s="52">
        <f t="shared" si="85"/>
        <v>1</v>
      </c>
      <c r="ED24" s="52" t="e">
        <f t="shared" si="48"/>
        <v>#DIV/0!</v>
      </c>
      <c r="EE24" s="52" t="e">
        <f t="shared" si="49"/>
        <v>#DIV/0!</v>
      </c>
      <c r="EF24" s="52" t="e">
        <f t="shared" si="50"/>
        <v>#DIV/0!</v>
      </c>
      <c r="EG24" s="52">
        <f t="shared" si="86"/>
        <v>0</v>
      </c>
      <c r="EH24" s="52" t="e">
        <f t="shared" si="51"/>
        <v>#DIV/0!</v>
      </c>
      <c r="EI24" s="52" t="e">
        <f t="shared" si="52"/>
        <v>#DIV/0!</v>
      </c>
      <c r="EJ24" s="52" t="e">
        <f t="shared" si="53"/>
        <v>#DIV/0!</v>
      </c>
      <c r="EK24" s="52">
        <f t="shared" si="87"/>
        <v>1</v>
      </c>
      <c r="EL24" s="52" t="e">
        <f t="shared" si="54"/>
        <v>#DIV/0!</v>
      </c>
      <c r="EM24" s="52"/>
      <c r="EN24" s="64">
        <f t="shared" si="88"/>
        <v>0</v>
      </c>
      <c r="EO24" s="64">
        <f t="shared" si="89"/>
        <v>1</v>
      </c>
      <c r="EP24" s="64" t="str">
        <f t="shared" si="91"/>
        <v>1</v>
      </c>
      <c r="EQ24" s="64" t="str">
        <f t="shared" si="90"/>
        <v>0</v>
      </c>
    </row>
    <row r="25" spans="1:147" s="60" customFormat="1" x14ac:dyDescent="0.25">
      <c r="A25" s="6"/>
      <c r="B25" s="115"/>
      <c r="C25" s="9"/>
      <c r="D25" s="84" t="s">
        <v>9</v>
      </c>
      <c r="E25" s="84" t="s">
        <v>13</v>
      </c>
      <c r="F25" s="84" t="s">
        <v>66</v>
      </c>
      <c r="G25" s="84" t="s">
        <v>1</v>
      </c>
      <c r="H25" s="16"/>
      <c r="I25" s="6"/>
      <c r="J25" s="6"/>
      <c r="K25" s="6"/>
      <c r="L25" s="6"/>
      <c r="M25" s="19">
        <f t="shared" si="120"/>
        <v>0</v>
      </c>
      <c r="N25" s="19">
        <f t="shared" si="121"/>
        <v>0</v>
      </c>
      <c r="O25" s="9"/>
      <c r="P25" s="9" t="s">
        <v>120</v>
      </c>
      <c r="Q25" s="9" t="s">
        <v>212</v>
      </c>
      <c r="R25" s="9"/>
      <c r="S25" s="8"/>
      <c r="T25" s="8"/>
      <c r="U25" s="4">
        <f t="shared" si="122"/>
        <v>0</v>
      </c>
      <c r="V25" s="8"/>
      <c r="W25" s="8"/>
      <c r="X25" s="8"/>
      <c r="Y25" s="8"/>
      <c r="Z25" s="8"/>
      <c r="AA25" s="8"/>
      <c r="AB25" s="5">
        <f t="shared" si="123"/>
        <v>0</v>
      </c>
      <c r="AC25" s="5">
        <f t="shared" si="124"/>
        <v>0</v>
      </c>
      <c r="AD25" s="5">
        <f t="shared" si="125"/>
        <v>0</v>
      </c>
      <c r="AE25" s="43">
        <f t="shared" si="126"/>
        <v>0</v>
      </c>
      <c r="AF25" s="3">
        <f t="shared" si="127"/>
        <v>0</v>
      </c>
      <c r="AG25" s="3">
        <f t="shared" si="128"/>
        <v>0</v>
      </c>
      <c r="AH25" s="3">
        <f t="shared" si="129"/>
        <v>0</v>
      </c>
      <c r="AI25" s="3">
        <f t="shared" si="130"/>
        <v>0</v>
      </c>
      <c r="AJ25" s="3">
        <f t="shared" si="131"/>
        <v>0</v>
      </c>
      <c r="AK25" s="3">
        <f t="shared" si="132"/>
        <v>0</v>
      </c>
      <c r="AL25" s="3">
        <f t="shared" si="133"/>
        <v>0</v>
      </c>
      <c r="AM25" s="3">
        <f t="shared" si="134"/>
        <v>0</v>
      </c>
      <c r="AN25" s="3">
        <f t="shared" si="135"/>
        <v>0</v>
      </c>
      <c r="AO25" s="54">
        <f t="shared" si="136"/>
        <v>0</v>
      </c>
      <c r="AP25" s="8"/>
      <c r="AQ25" s="29" t="s">
        <v>42</v>
      </c>
      <c r="AR25" s="8"/>
      <c r="AS25" s="8"/>
      <c r="AT25" s="8"/>
      <c r="AU25" s="104">
        <f t="shared" si="137"/>
        <v>0</v>
      </c>
      <c r="AV25" s="104">
        <f t="shared" si="138"/>
        <v>0</v>
      </c>
      <c r="AW25" s="79"/>
      <c r="AX25" s="8"/>
      <c r="AY25" s="10" t="e">
        <f t="shared" si="4"/>
        <v>#DIV/0!</v>
      </c>
      <c r="AZ25" s="10" t="e">
        <f t="shared" si="5"/>
        <v>#DIV/0!</v>
      </c>
      <c r="BA25" s="10" t="e">
        <f t="shared" si="6"/>
        <v>#DIV/0!</v>
      </c>
      <c r="BB25" s="10" t="e">
        <f t="shared" si="7"/>
        <v>#DIV/0!</v>
      </c>
      <c r="BC25" s="10" t="e">
        <f t="shared" si="8"/>
        <v>#DIV/0!</v>
      </c>
      <c r="BD25" s="10" t="e">
        <f t="shared" si="9"/>
        <v>#DIV/0!</v>
      </c>
      <c r="BE25" s="10" t="e">
        <f t="shared" si="10"/>
        <v>#DIV/0!</v>
      </c>
      <c r="BF25" s="10" t="e">
        <f t="shared" si="11"/>
        <v>#DIV/0!</v>
      </c>
      <c r="BG25" s="10" t="e">
        <f t="shared" si="12"/>
        <v>#DIV/0!</v>
      </c>
      <c r="BH25" s="10" t="e">
        <f t="shared" si="139"/>
        <v>#DIV/0!</v>
      </c>
      <c r="BI25" s="10"/>
      <c r="BJ25" s="10"/>
      <c r="BK25" s="10"/>
      <c r="BL25" s="10"/>
      <c r="BM25" s="10"/>
      <c r="BN25" s="113" t="e">
        <f>AR25/VLOOKUP(AP25,References!$A$3:$C$53,2,FALSE)</f>
        <v>#N/A</v>
      </c>
      <c r="BO25" s="113">
        <f t="shared" si="71"/>
        <v>0</v>
      </c>
      <c r="BP25" s="113" t="e">
        <f t="shared" si="13"/>
        <v>#DIV/0!</v>
      </c>
      <c r="BQ25" s="113">
        <f>((R25*(VLOOKUP(Q25,References!$A$57:$D$110,2,FALSE))%)+(S25*(VLOOKUP(Q25,References!$A$57:$D$110,2,FALSE))%)*(CW25+DA25+DM25))</f>
        <v>0</v>
      </c>
      <c r="BR25" s="113">
        <f>((R25*(VLOOKUP(Q25,References!$A$57:$D$110,3,FALSE))%)+(S25*(VLOOKUP(Q25,References!$A$57:$D$110,3,FALSE))%)*(CW25+DA25+DM25))</f>
        <v>0</v>
      </c>
      <c r="BS25" s="113">
        <f>((R25*(VLOOKUP(Q25,References!$A$57:$D$110,4,FALSE))%)+(S25*(VLOOKUP(Q25,References!$A$57:$D$110,4,FALSE))%)*(CW25+DA25+DM25))</f>
        <v>0</v>
      </c>
      <c r="BT25" s="10">
        <f>((((R25+S25)/100)*VLOOKUP(Q25,References!$A$58:$M$110,13,FALSE))*(CW25+DA25+DM25))</f>
        <v>0</v>
      </c>
      <c r="BU25" s="10" t="e">
        <f>(AR25/1000)*VLOOKUP(AP25,References!$A$4:$P$54,11,FALSE)</f>
        <v>#N/A</v>
      </c>
      <c r="BV25" s="10" t="e">
        <f>(AR25/1000)*VLOOKUP(AP25,References!$A$4:$P$54,12,FALSE)</f>
        <v>#N/A</v>
      </c>
      <c r="BW25" s="10" t="e">
        <f>(AR25/1000)*VLOOKUP(AP25,References!$A$4:$P$54,13,FALSE)</f>
        <v>#N/A</v>
      </c>
      <c r="BX25" s="113">
        <f t="shared" si="140"/>
        <v>0</v>
      </c>
      <c r="BY25" s="113">
        <f t="shared" si="141"/>
        <v>0</v>
      </c>
      <c r="BZ25" s="113">
        <f t="shared" si="142"/>
        <v>0</v>
      </c>
      <c r="CA25" s="113" t="e">
        <f t="shared" si="15"/>
        <v>#DIV/0!</v>
      </c>
      <c r="CB25" s="113" t="e">
        <f t="shared" si="16"/>
        <v>#DIV/0!</v>
      </c>
      <c r="CC25" s="113" t="e">
        <f t="shared" si="17"/>
        <v>#DIV/0!</v>
      </c>
      <c r="CD25" s="113" t="e">
        <f t="shared" si="18"/>
        <v>#DIV/0!</v>
      </c>
      <c r="CE25" s="113" t="e">
        <f t="shared" si="19"/>
        <v>#DIV/0!</v>
      </c>
      <c r="CF25" s="113" t="e">
        <f t="shared" si="20"/>
        <v>#DIV/0!</v>
      </c>
      <c r="CG25" s="113"/>
      <c r="CH25" s="113"/>
      <c r="CI25" s="113"/>
      <c r="CJ25" s="113"/>
      <c r="CK25" s="113"/>
      <c r="CL25" s="113"/>
      <c r="CM25" s="113" t="e">
        <f t="shared" si="21"/>
        <v>#DIV/0!</v>
      </c>
      <c r="CN25" s="113" t="e">
        <f>R25*VLOOKUP(Q25,References!$A$86:$E$158,2,FALSE)+S25*VLOOKUP(Q25,References!$A$86:$E$158,2,FALSE)</f>
        <v>#N/A</v>
      </c>
      <c r="CO25" s="113" t="e">
        <f>((VLOOKUP(Q25,References!$A$86:$E$158,3,FALSE)-(CN25/C$7))/(VLOOKUP(Q25,References!$A$86:$E$158,3,FALSE)))</f>
        <v>#N/A</v>
      </c>
      <c r="CP25" s="101" t="e">
        <f t="shared" si="143"/>
        <v>#N/A</v>
      </c>
      <c r="CQ25" s="113">
        <f t="shared" si="144"/>
        <v>0</v>
      </c>
      <c r="CR25" s="113">
        <f t="shared" si="145"/>
        <v>0</v>
      </c>
      <c r="CS25" s="113">
        <f t="shared" si="146"/>
        <v>0</v>
      </c>
      <c r="CT25" s="113"/>
      <c r="CU25" s="10"/>
      <c r="CV25" s="10"/>
      <c r="CW25" s="52">
        <f t="shared" si="77"/>
        <v>0</v>
      </c>
      <c r="CX25" s="52" t="e">
        <f t="shared" si="24"/>
        <v>#DIV/0!</v>
      </c>
      <c r="CY25" s="52" t="e">
        <f t="shared" si="25"/>
        <v>#DIV/0!</v>
      </c>
      <c r="CZ25" s="52" t="e">
        <f t="shared" si="26"/>
        <v>#DIV/0!</v>
      </c>
      <c r="DA25" s="52">
        <f t="shared" si="78"/>
        <v>0</v>
      </c>
      <c r="DB25" s="52" t="e">
        <f t="shared" si="27"/>
        <v>#DIV/0!</v>
      </c>
      <c r="DC25" s="52" t="e">
        <f t="shared" si="28"/>
        <v>#DIV/0!</v>
      </c>
      <c r="DD25" s="52" t="e">
        <f t="shared" si="29"/>
        <v>#DIV/0!</v>
      </c>
      <c r="DE25" s="52">
        <f t="shared" si="79"/>
        <v>0</v>
      </c>
      <c r="DF25" s="52" t="e">
        <f t="shared" si="30"/>
        <v>#DIV/0!</v>
      </c>
      <c r="DG25" s="52" t="e">
        <f t="shared" si="31"/>
        <v>#DIV/0!</v>
      </c>
      <c r="DH25" s="52" t="e">
        <f t="shared" si="32"/>
        <v>#DIV/0!</v>
      </c>
      <c r="DI25" s="52">
        <f t="shared" si="80"/>
        <v>0</v>
      </c>
      <c r="DJ25" s="52" t="e">
        <f t="shared" si="33"/>
        <v>#DIV/0!</v>
      </c>
      <c r="DK25" s="52" t="e">
        <f t="shared" si="34"/>
        <v>#DIV/0!</v>
      </c>
      <c r="DL25" s="52" t="e">
        <f t="shared" si="35"/>
        <v>#DIV/0!</v>
      </c>
      <c r="DM25" s="52">
        <f t="shared" si="81"/>
        <v>0</v>
      </c>
      <c r="DN25" s="52" t="e">
        <f t="shared" si="36"/>
        <v>#DIV/0!</v>
      </c>
      <c r="DO25" s="52" t="e">
        <f t="shared" si="37"/>
        <v>#DIV/0!</v>
      </c>
      <c r="DP25" s="52" t="e">
        <f t="shared" si="38"/>
        <v>#DIV/0!</v>
      </c>
      <c r="DQ25" s="52">
        <f t="shared" si="82"/>
        <v>0</v>
      </c>
      <c r="DR25" s="52" t="e">
        <f t="shared" si="39"/>
        <v>#DIV/0!</v>
      </c>
      <c r="DS25" s="52" t="e">
        <f t="shared" si="40"/>
        <v>#DIV/0!</v>
      </c>
      <c r="DT25" s="52" t="e">
        <f t="shared" si="41"/>
        <v>#DIV/0!</v>
      </c>
      <c r="DU25" s="52">
        <f t="shared" si="83"/>
        <v>0</v>
      </c>
      <c r="DV25" s="52" t="e">
        <f t="shared" si="42"/>
        <v>#DIV/0!</v>
      </c>
      <c r="DW25" s="52" t="e">
        <f t="shared" si="43"/>
        <v>#DIV/0!</v>
      </c>
      <c r="DX25" s="52" t="e">
        <f t="shared" si="44"/>
        <v>#DIV/0!</v>
      </c>
      <c r="DY25" s="52">
        <f t="shared" si="84"/>
        <v>0</v>
      </c>
      <c r="DZ25" s="52" t="e">
        <f t="shared" si="45"/>
        <v>#DIV/0!</v>
      </c>
      <c r="EA25" s="52" t="e">
        <f t="shared" si="46"/>
        <v>#DIV/0!</v>
      </c>
      <c r="EB25" s="52" t="e">
        <f t="shared" si="47"/>
        <v>#DIV/0!</v>
      </c>
      <c r="EC25" s="52">
        <f t="shared" si="85"/>
        <v>1</v>
      </c>
      <c r="ED25" s="52" t="e">
        <f t="shared" si="48"/>
        <v>#DIV/0!</v>
      </c>
      <c r="EE25" s="52" t="e">
        <f t="shared" si="49"/>
        <v>#DIV/0!</v>
      </c>
      <c r="EF25" s="52" t="e">
        <f t="shared" si="50"/>
        <v>#DIV/0!</v>
      </c>
      <c r="EG25" s="52">
        <f t="shared" si="86"/>
        <v>0</v>
      </c>
      <c r="EH25" s="52" t="e">
        <f t="shared" si="51"/>
        <v>#DIV/0!</v>
      </c>
      <c r="EI25" s="52" t="e">
        <f t="shared" si="52"/>
        <v>#DIV/0!</v>
      </c>
      <c r="EJ25" s="52" t="e">
        <f t="shared" si="53"/>
        <v>#DIV/0!</v>
      </c>
      <c r="EK25" s="52">
        <f t="shared" si="87"/>
        <v>1</v>
      </c>
      <c r="EL25" s="52" t="e">
        <f t="shared" si="54"/>
        <v>#DIV/0!</v>
      </c>
      <c r="EM25" s="52"/>
      <c r="EN25" s="64">
        <f t="shared" si="88"/>
        <v>0</v>
      </c>
      <c r="EO25" s="64">
        <f t="shared" si="89"/>
        <v>1</v>
      </c>
      <c r="EP25" s="64" t="str">
        <f t="shared" si="91"/>
        <v>1</v>
      </c>
      <c r="EQ25" s="64" t="str">
        <f t="shared" si="90"/>
        <v>0</v>
      </c>
    </row>
    <row r="26" spans="1:147" x14ac:dyDescent="0.25">
      <c r="A26" s="6"/>
      <c r="B26" s="115"/>
      <c r="C26" s="9"/>
      <c r="D26" s="84" t="s">
        <v>9</v>
      </c>
      <c r="E26" s="84" t="s">
        <v>13</v>
      </c>
      <c r="F26" s="84" t="s">
        <v>32</v>
      </c>
      <c r="G26" s="84" t="s">
        <v>1</v>
      </c>
      <c r="H26" s="16"/>
      <c r="I26" s="6"/>
      <c r="J26" s="6"/>
      <c r="K26" s="6"/>
      <c r="L26" s="6"/>
      <c r="M26" s="19">
        <f t="shared" si="55"/>
        <v>0</v>
      </c>
      <c r="N26" s="19">
        <f t="shared" si="0"/>
        <v>0</v>
      </c>
      <c r="O26" s="9"/>
      <c r="P26" s="9" t="s">
        <v>120</v>
      </c>
      <c r="Q26" s="9" t="s">
        <v>212</v>
      </c>
      <c r="R26" s="9"/>
      <c r="U26" s="4">
        <f t="shared" si="56"/>
        <v>0</v>
      </c>
      <c r="V26" s="8"/>
      <c r="W26" s="8"/>
      <c r="X26" s="8"/>
      <c r="Y26" s="8"/>
      <c r="Z26" s="8"/>
      <c r="AA26" s="8"/>
      <c r="AB26" s="5">
        <f t="shared" si="57"/>
        <v>0</v>
      </c>
      <c r="AC26" s="5">
        <f t="shared" si="58"/>
        <v>0</v>
      </c>
      <c r="AD26" s="5">
        <f t="shared" si="1"/>
        <v>0</v>
      </c>
      <c r="AE26" s="43">
        <f t="shared" si="2"/>
        <v>0</v>
      </c>
      <c r="AF26" s="3">
        <f t="shared" si="59"/>
        <v>0</v>
      </c>
      <c r="AG26" s="3">
        <f t="shared" si="60"/>
        <v>0</v>
      </c>
      <c r="AH26" s="3">
        <f t="shared" si="61"/>
        <v>0</v>
      </c>
      <c r="AI26" s="3">
        <f t="shared" si="62"/>
        <v>0</v>
      </c>
      <c r="AJ26" s="3">
        <f t="shared" si="63"/>
        <v>0</v>
      </c>
      <c r="AK26" s="3">
        <f t="shared" si="64"/>
        <v>0</v>
      </c>
      <c r="AL26" s="3">
        <f t="shared" si="65"/>
        <v>0</v>
      </c>
      <c r="AM26" s="3">
        <f t="shared" si="66"/>
        <v>0</v>
      </c>
      <c r="AN26" s="3">
        <f t="shared" si="67"/>
        <v>0</v>
      </c>
      <c r="AO26" s="54">
        <f t="shared" si="68"/>
        <v>0</v>
      </c>
      <c r="AP26" s="8"/>
      <c r="AQ26" s="29" t="s">
        <v>42</v>
      </c>
      <c r="AR26" s="8"/>
      <c r="AS26" s="8"/>
      <c r="AT26" s="8"/>
      <c r="AU26" s="104">
        <f t="shared" si="69"/>
        <v>0</v>
      </c>
      <c r="AV26" s="104">
        <f t="shared" si="3"/>
        <v>0</v>
      </c>
      <c r="AW26" s="79"/>
      <c r="AY26" s="10" t="e">
        <f t="shared" si="4"/>
        <v>#DIV/0!</v>
      </c>
      <c r="AZ26" s="10" t="e">
        <f t="shared" si="5"/>
        <v>#DIV/0!</v>
      </c>
      <c r="BA26" s="10" t="e">
        <f t="shared" si="6"/>
        <v>#DIV/0!</v>
      </c>
      <c r="BB26" s="10" t="e">
        <f t="shared" si="7"/>
        <v>#DIV/0!</v>
      </c>
      <c r="BC26" s="10" t="e">
        <f t="shared" si="8"/>
        <v>#DIV/0!</v>
      </c>
      <c r="BD26" s="10" t="e">
        <f t="shared" si="9"/>
        <v>#DIV/0!</v>
      </c>
      <c r="BE26" s="10" t="e">
        <f t="shared" si="10"/>
        <v>#DIV/0!</v>
      </c>
      <c r="BF26" s="10" t="e">
        <f t="shared" si="11"/>
        <v>#DIV/0!</v>
      </c>
      <c r="BG26" s="10" t="e">
        <f t="shared" si="12"/>
        <v>#DIV/0!</v>
      </c>
      <c r="BH26" s="10" t="e">
        <f t="shared" si="70"/>
        <v>#DIV/0!</v>
      </c>
      <c r="BI26" s="10"/>
      <c r="BJ26" s="10"/>
      <c r="BK26" s="10"/>
      <c r="BL26" s="10"/>
      <c r="BM26" s="10"/>
      <c r="BN26" s="113" t="e">
        <f>AR26/VLOOKUP(AP26,References!$A$3:$C$53,2,FALSE)</f>
        <v>#N/A</v>
      </c>
      <c r="BO26" s="113">
        <f t="shared" si="71"/>
        <v>0</v>
      </c>
      <c r="BP26" s="113" t="e">
        <f t="shared" si="13"/>
        <v>#DIV/0!</v>
      </c>
      <c r="BQ26" s="113">
        <f>((R26*(VLOOKUP(Q26,References!$A$57:$D$110,2,FALSE))%)+(S26*(VLOOKUP(Q26,References!$A$57:$D$110,2,FALSE))%)*(CW26+DA26+DM26))</f>
        <v>0</v>
      </c>
      <c r="BR26" s="113">
        <f>((R26*(VLOOKUP(Q26,References!$A$57:$D$110,3,FALSE))%)+(S26*(VLOOKUP(Q26,References!$A$57:$D$110,3,FALSE))%)*(CW26+DA26+DM26))</f>
        <v>0</v>
      </c>
      <c r="BS26" s="113">
        <f>((R26*(VLOOKUP(Q26,References!$A$57:$D$110,4,FALSE))%)+(S26*(VLOOKUP(Q26,References!$A$57:$D$110,4,FALSE))%)*(CW26+DA26+DM26))</f>
        <v>0</v>
      </c>
      <c r="BT26" s="10">
        <f>((((R26+S26)/100)*VLOOKUP(Q26,References!$A$58:$M$110,13,FALSE))*(CW26+DA26+DM26))</f>
        <v>0</v>
      </c>
      <c r="BU26" s="10" t="e">
        <f>(AR26/1000)*VLOOKUP(AP26,References!$A$4:$P$54,11,FALSE)</f>
        <v>#N/A</v>
      </c>
      <c r="BV26" s="10" t="e">
        <f>(AR26/1000)*VLOOKUP(AP26,References!$A$4:$P$54,12,FALSE)</f>
        <v>#N/A</v>
      </c>
      <c r="BW26" s="10" t="e">
        <f>(AR26/1000)*VLOOKUP(AP26,References!$A$4:$P$54,13,FALSE)</f>
        <v>#N/A</v>
      </c>
      <c r="BX26" s="113">
        <f t="shared" si="72"/>
        <v>0</v>
      </c>
      <c r="BY26" s="113">
        <f t="shared" si="73"/>
        <v>0</v>
      </c>
      <c r="BZ26" s="113">
        <f t="shared" si="74"/>
        <v>0</v>
      </c>
      <c r="CA26" s="113" t="e">
        <f t="shared" si="15"/>
        <v>#DIV/0!</v>
      </c>
      <c r="CB26" s="113" t="e">
        <f t="shared" si="16"/>
        <v>#DIV/0!</v>
      </c>
      <c r="CC26" s="113" t="e">
        <f t="shared" si="17"/>
        <v>#DIV/0!</v>
      </c>
      <c r="CD26" s="113" t="e">
        <f t="shared" si="18"/>
        <v>#DIV/0!</v>
      </c>
      <c r="CE26" s="113" t="e">
        <f t="shared" si="19"/>
        <v>#DIV/0!</v>
      </c>
      <c r="CF26" s="113" t="e">
        <f t="shared" si="20"/>
        <v>#DIV/0!</v>
      </c>
      <c r="CG26" s="113"/>
      <c r="CH26" s="113"/>
      <c r="CI26" s="113"/>
      <c r="CJ26" s="113"/>
      <c r="CK26" s="113"/>
      <c r="CL26" s="113"/>
      <c r="CM26" s="113" t="e">
        <f t="shared" si="21"/>
        <v>#DIV/0!</v>
      </c>
      <c r="CN26" s="113" t="e">
        <f>R26*VLOOKUP(Q26,References!$A$86:$E$158,2,FALSE)+S26*VLOOKUP(Q26,References!$A$86:$E$158,2,FALSE)</f>
        <v>#N/A</v>
      </c>
      <c r="CO26" s="113" t="e">
        <f>((VLOOKUP(Q26,References!$A$86:$E$158,3,FALSE)-(CN26/C$7))/(VLOOKUP(Q26,References!$A$86:$E$158,3,FALSE)))</f>
        <v>#N/A</v>
      </c>
      <c r="CP26" s="101" t="e">
        <f t="shared" si="75"/>
        <v>#N/A</v>
      </c>
      <c r="CQ26" s="113">
        <f t="shared" si="76"/>
        <v>0</v>
      </c>
      <c r="CR26" s="113">
        <f t="shared" si="22"/>
        <v>0</v>
      </c>
      <c r="CS26" s="113">
        <f t="shared" si="23"/>
        <v>0</v>
      </c>
      <c r="CT26" s="113"/>
      <c r="CU26" s="10"/>
      <c r="CV26" s="10"/>
      <c r="CW26" s="7">
        <f t="shared" si="77"/>
        <v>0</v>
      </c>
      <c r="CX26" s="7" t="e">
        <f t="shared" si="24"/>
        <v>#DIV/0!</v>
      </c>
      <c r="CY26" s="7" t="e">
        <f t="shared" si="25"/>
        <v>#DIV/0!</v>
      </c>
      <c r="CZ26" s="7" t="e">
        <f t="shared" si="26"/>
        <v>#DIV/0!</v>
      </c>
      <c r="DA26" s="7">
        <f t="shared" si="78"/>
        <v>0</v>
      </c>
      <c r="DB26" s="7" t="e">
        <f t="shared" si="27"/>
        <v>#DIV/0!</v>
      </c>
      <c r="DC26" s="7" t="e">
        <f t="shared" si="28"/>
        <v>#DIV/0!</v>
      </c>
      <c r="DD26" s="7" t="e">
        <f t="shared" si="29"/>
        <v>#DIV/0!</v>
      </c>
      <c r="DE26" s="7">
        <f t="shared" si="79"/>
        <v>0</v>
      </c>
      <c r="DF26" s="7" t="e">
        <f t="shared" si="30"/>
        <v>#DIV/0!</v>
      </c>
      <c r="DG26" s="7" t="e">
        <f t="shared" si="31"/>
        <v>#DIV/0!</v>
      </c>
      <c r="DH26" s="7" t="e">
        <f t="shared" si="32"/>
        <v>#DIV/0!</v>
      </c>
      <c r="DI26" s="7">
        <f t="shared" si="80"/>
        <v>0</v>
      </c>
      <c r="DJ26" s="7" t="e">
        <f t="shared" si="33"/>
        <v>#DIV/0!</v>
      </c>
      <c r="DK26" s="7" t="e">
        <f t="shared" si="34"/>
        <v>#DIV/0!</v>
      </c>
      <c r="DL26" s="7" t="e">
        <f t="shared" si="35"/>
        <v>#DIV/0!</v>
      </c>
      <c r="DM26" s="7">
        <f t="shared" si="81"/>
        <v>0</v>
      </c>
      <c r="DN26" s="7" t="e">
        <f t="shared" si="36"/>
        <v>#DIV/0!</v>
      </c>
      <c r="DO26" s="7" t="e">
        <f t="shared" si="37"/>
        <v>#DIV/0!</v>
      </c>
      <c r="DP26" s="7" t="e">
        <f t="shared" si="38"/>
        <v>#DIV/0!</v>
      </c>
      <c r="DQ26" s="7">
        <f t="shared" si="82"/>
        <v>0</v>
      </c>
      <c r="DR26" s="7" t="e">
        <f t="shared" si="39"/>
        <v>#DIV/0!</v>
      </c>
      <c r="DS26" s="7" t="e">
        <f t="shared" si="40"/>
        <v>#DIV/0!</v>
      </c>
      <c r="DT26" s="7" t="e">
        <f t="shared" si="41"/>
        <v>#DIV/0!</v>
      </c>
      <c r="DU26" s="7">
        <f t="shared" si="83"/>
        <v>0</v>
      </c>
      <c r="DV26" s="7" t="e">
        <f t="shared" si="42"/>
        <v>#DIV/0!</v>
      </c>
      <c r="DW26" s="7" t="e">
        <f t="shared" si="43"/>
        <v>#DIV/0!</v>
      </c>
      <c r="DX26" s="7" t="e">
        <f t="shared" si="44"/>
        <v>#DIV/0!</v>
      </c>
      <c r="DY26" s="7">
        <f t="shared" si="84"/>
        <v>0</v>
      </c>
      <c r="DZ26" s="7" t="e">
        <f t="shared" si="45"/>
        <v>#DIV/0!</v>
      </c>
      <c r="EA26" s="7" t="e">
        <f t="shared" si="46"/>
        <v>#DIV/0!</v>
      </c>
      <c r="EB26" s="7" t="e">
        <f t="shared" si="47"/>
        <v>#DIV/0!</v>
      </c>
      <c r="EC26" s="7">
        <f t="shared" si="85"/>
        <v>1</v>
      </c>
      <c r="ED26" s="7" t="e">
        <f t="shared" si="48"/>
        <v>#DIV/0!</v>
      </c>
      <c r="EE26" s="7" t="e">
        <f t="shared" si="49"/>
        <v>#DIV/0!</v>
      </c>
      <c r="EF26" s="7" t="e">
        <f t="shared" si="50"/>
        <v>#DIV/0!</v>
      </c>
      <c r="EG26" s="7">
        <f t="shared" si="86"/>
        <v>0</v>
      </c>
      <c r="EH26" s="7" t="e">
        <f t="shared" si="51"/>
        <v>#DIV/0!</v>
      </c>
      <c r="EI26" s="7" t="e">
        <f t="shared" si="52"/>
        <v>#DIV/0!</v>
      </c>
      <c r="EJ26" s="7" t="e">
        <f t="shared" si="53"/>
        <v>#DIV/0!</v>
      </c>
      <c r="EK26" s="7">
        <f t="shared" si="87"/>
        <v>1</v>
      </c>
      <c r="EL26" s="7" t="e">
        <f t="shared" si="54"/>
        <v>#DIV/0!</v>
      </c>
      <c r="EM26" s="7"/>
      <c r="EN26" s="63">
        <f t="shared" si="88"/>
        <v>0</v>
      </c>
      <c r="EO26" s="63">
        <f t="shared" si="89"/>
        <v>1</v>
      </c>
      <c r="EP26" s="63" t="str">
        <f t="shared" si="91"/>
        <v>1</v>
      </c>
      <c r="EQ26" s="63" t="str">
        <f t="shared" si="90"/>
        <v>0</v>
      </c>
    </row>
    <row r="27" spans="1:147" s="60" customFormat="1" x14ac:dyDescent="0.25">
      <c r="A27" s="59"/>
      <c r="B27" s="55"/>
      <c r="C27" s="56"/>
      <c r="D27" s="57" t="s">
        <v>9</v>
      </c>
      <c r="E27" s="57" t="s">
        <v>38</v>
      </c>
      <c r="F27" s="57" t="s">
        <v>32</v>
      </c>
      <c r="G27" s="57" t="s">
        <v>1</v>
      </c>
      <c r="H27" s="58"/>
      <c r="I27" s="59"/>
      <c r="J27" s="59"/>
      <c r="K27" s="59"/>
      <c r="L27" s="59"/>
      <c r="M27" s="19">
        <f t="shared" si="55"/>
        <v>0</v>
      </c>
      <c r="N27" s="19">
        <f t="shared" si="0"/>
        <v>0</v>
      </c>
      <c r="O27" s="56"/>
      <c r="P27" s="56" t="s">
        <v>120</v>
      </c>
      <c r="Q27" s="56" t="s">
        <v>212</v>
      </c>
      <c r="R27" s="56"/>
      <c r="U27" s="4">
        <f t="shared" si="56"/>
        <v>0</v>
      </c>
      <c r="AB27" s="5">
        <f t="shared" si="57"/>
        <v>0</v>
      </c>
      <c r="AC27" s="5">
        <f t="shared" si="58"/>
        <v>0</v>
      </c>
      <c r="AD27" s="5">
        <f t="shared" si="1"/>
        <v>0</v>
      </c>
      <c r="AE27" s="43">
        <f t="shared" si="2"/>
        <v>0</v>
      </c>
      <c r="AF27" s="3">
        <f t="shared" si="59"/>
        <v>0</v>
      </c>
      <c r="AG27" s="3">
        <f t="shared" si="60"/>
        <v>0</v>
      </c>
      <c r="AH27" s="3">
        <f t="shared" si="61"/>
        <v>0</v>
      </c>
      <c r="AI27" s="3">
        <f t="shared" si="62"/>
        <v>0</v>
      </c>
      <c r="AJ27" s="3">
        <f t="shared" si="63"/>
        <v>0</v>
      </c>
      <c r="AK27" s="3">
        <f t="shared" si="64"/>
        <v>0</v>
      </c>
      <c r="AL27" s="3">
        <f t="shared" si="65"/>
        <v>0</v>
      </c>
      <c r="AM27" s="3">
        <f t="shared" si="66"/>
        <v>0</v>
      </c>
      <c r="AN27" s="3">
        <f t="shared" si="67"/>
        <v>0</v>
      </c>
      <c r="AO27" s="54">
        <f t="shared" si="68"/>
        <v>0</v>
      </c>
      <c r="AQ27" s="57" t="s">
        <v>42</v>
      </c>
      <c r="AU27" s="104">
        <f t="shared" si="69"/>
        <v>0</v>
      </c>
      <c r="AV27" s="104">
        <f t="shared" si="3"/>
        <v>0</v>
      </c>
      <c r="AW27" s="79"/>
      <c r="AX27" s="8"/>
      <c r="AY27" s="52" t="e">
        <f t="shared" si="4"/>
        <v>#DIV/0!</v>
      </c>
      <c r="AZ27" s="52" t="e">
        <f t="shared" si="5"/>
        <v>#DIV/0!</v>
      </c>
      <c r="BA27" s="52" t="e">
        <f t="shared" si="6"/>
        <v>#DIV/0!</v>
      </c>
      <c r="BB27" s="52" t="e">
        <f t="shared" si="7"/>
        <v>#DIV/0!</v>
      </c>
      <c r="BC27" s="52" t="e">
        <f t="shared" si="8"/>
        <v>#DIV/0!</v>
      </c>
      <c r="BD27" s="52" t="e">
        <f t="shared" si="9"/>
        <v>#DIV/0!</v>
      </c>
      <c r="BE27" s="52" t="e">
        <f t="shared" si="10"/>
        <v>#DIV/0!</v>
      </c>
      <c r="BF27" s="52" t="e">
        <f t="shared" si="11"/>
        <v>#DIV/0!</v>
      </c>
      <c r="BG27" s="52" t="e">
        <f t="shared" si="12"/>
        <v>#DIV/0!</v>
      </c>
      <c r="BH27" s="52" t="e">
        <f t="shared" si="70"/>
        <v>#DIV/0!</v>
      </c>
      <c r="BI27" s="10"/>
      <c r="BJ27" s="10"/>
      <c r="BK27" s="10"/>
      <c r="BL27" s="10"/>
      <c r="BM27" s="10"/>
      <c r="BN27" s="113" t="e">
        <f>AR27/VLOOKUP(AP27,References!$A$3:$C$53,2,FALSE)</f>
        <v>#N/A</v>
      </c>
      <c r="BO27" s="113">
        <f t="shared" si="71"/>
        <v>0</v>
      </c>
      <c r="BP27" s="113" t="e">
        <f t="shared" si="13"/>
        <v>#DIV/0!</v>
      </c>
      <c r="BQ27" s="113">
        <f>((R27*(VLOOKUP(Q27,References!$A$57:$D$110,2,FALSE))%)+(S27*(VLOOKUP(Q27,References!$A$57:$D$110,2,FALSE))%)*(CW27+DA27+DM27))</f>
        <v>0</v>
      </c>
      <c r="BR27" s="113">
        <f>((R27*(VLOOKUP(Q27,References!$A$57:$D$110,3,FALSE))%)+(S27*(VLOOKUP(Q27,References!$A$57:$D$110,3,FALSE))%)*(CW27+DA27+DM27))</f>
        <v>0</v>
      </c>
      <c r="BS27" s="113">
        <f>((R27*(VLOOKUP(Q27,References!$A$57:$D$110,4,FALSE))%)+(S27*(VLOOKUP(Q27,References!$A$57:$D$110,4,FALSE))%)*(CW27+DA27+DM27))</f>
        <v>0</v>
      </c>
      <c r="BT27" s="10">
        <f>((((R27+S27)/100)*VLOOKUP(Q27,References!$A$58:$M$110,13,FALSE))*(CW27+DA27+DM27))</f>
        <v>0</v>
      </c>
      <c r="BU27" s="10" t="e">
        <f>(AR27/1000)*VLOOKUP(AP27,References!$A$4:$P$54,11,FALSE)</f>
        <v>#N/A</v>
      </c>
      <c r="BV27" s="10" t="e">
        <f>(AR27/1000)*VLOOKUP(AP27,References!$A$4:$P$54,12,FALSE)</f>
        <v>#N/A</v>
      </c>
      <c r="BW27" s="10" t="e">
        <f>(AR27/1000)*VLOOKUP(AP27,References!$A$4:$P$54,13,FALSE)</f>
        <v>#N/A</v>
      </c>
      <c r="BX27" s="113">
        <f t="shared" si="72"/>
        <v>0</v>
      </c>
      <c r="BY27" s="113">
        <f t="shared" si="73"/>
        <v>0</v>
      </c>
      <c r="BZ27" s="113">
        <f t="shared" si="74"/>
        <v>0</v>
      </c>
      <c r="CA27" s="113" t="e">
        <f t="shared" si="15"/>
        <v>#DIV/0!</v>
      </c>
      <c r="CB27" s="113" t="e">
        <f t="shared" si="16"/>
        <v>#DIV/0!</v>
      </c>
      <c r="CC27" s="113" t="e">
        <f t="shared" si="17"/>
        <v>#DIV/0!</v>
      </c>
      <c r="CD27" s="113" t="e">
        <f t="shared" si="18"/>
        <v>#DIV/0!</v>
      </c>
      <c r="CE27" s="113" t="e">
        <f t="shared" si="19"/>
        <v>#DIV/0!</v>
      </c>
      <c r="CF27" s="113" t="e">
        <f t="shared" si="20"/>
        <v>#DIV/0!</v>
      </c>
      <c r="CG27" s="113"/>
      <c r="CH27" s="113"/>
      <c r="CI27" s="113"/>
      <c r="CJ27" s="113"/>
      <c r="CK27" s="113"/>
      <c r="CL27" s="113"/>
      <c r="CM27" s="113" t="e">
        <f t="shared" si="21"/>
        <v>#DIV/0!</v>
      </c>
      <c r="CN27" s="113" t="e">
        <f>R27*VLOOKUP(Q27,References!$A$86:$E$158,2,FALSE)+S27*VLOOKUP(Q27,References!$A$86:$E$158,2,FALSE)</f>
        <v>#N/A</v>
      </c>
      <c r="CO27" s="113" t="e">
        <f>((VLOOKUP(Q27,References!$A$86:$E$158,3,FALSE)-(CN27/C$7))/(VLOOKUP(Q27,References!$A$86:$E$158,3,FALSE)))</f>
        <v>#N/A</v>
      </c>
      <c r="CP27" s="101" t="e">
        <f t="shared" si="75"/>
        <v>#N/A</v>
      </c>
      <c r="CQ27" s="113">
        <f t="shared" si="76"/>
        <v>0</v>
      </c>
      <c r="CR27" s="113">
        <f t="shared" si="22"/>
        <v>0</v>
      </c>
      <c r="CS27" s="113">
        <f t="shared" si="23"/>
        <v>0</v>
      </c>
      <c r="CT27" s="113"/>
      <c r="CU27" s="10"/>
      <c r="CV27" s="10"/>
      <c r="CW27" s="52">
        <f t="shared" si="77"/>
        <v>0</v>
      </c>
      <c r="CX27" s="52" t="e">
        <f t="shared" si="24"/>
        <v>#DIV/0!</v>
      </c>
      <c r="CY27" s="52" t="e">
        <f t="shared" si="25"/>
        <v>#DIV/0!</v>
      </c>
      <c r="CZ27" s="52" t="e">
        <f t="shared" si="26"/>
        <v>#DIV/0!</v>
      </c>
      <c r="DA27" s="52">
        <f t="shared" si="78"/>
        <v>0</v>
      </c>
      <c r="DB27" s="52" t="e">
        <f t="shared" si="27"/>
        <v>#DIV/0!</v>
      </c>
      <c r="DC27" s="52" t="e">
        <f t="shared" si="28"/>
        <v>#DIV/0!</v>
      </c>
      <c r="DD27" s="52" t="e">
        <f t="shared" si="29"/>
        <v>#DIV/0!</v>
      </c>
      <c r="DE27" s="52">
        <f t="shared" si="79"/>
        <v>0</v>
      </c>
      <c r="DF27" s="52" t="e">
        <f t="shared" si="30"/>
        <v>#DIV/0!</v>
      </c>
      <c r="DG27" s="52" t="e">
        <f t="shared" si="31"/>
        <v>#DIV/0!</v>
      </c>
      <c r="DH27" s="52" t="e">
        <f t="shared" si="32"/>
        <v>#DIV/0!</v>
      </c>
      <c r="DI27" s="52">
        <f t="shared" si="80"/>
        <v>0</v>
      </c>
      <c r="DJ27" s="52" t="e">
        <f t="shared" si="33"/>
        <v>#DIV/0!</v>
      </c>
      <c r="DK27" s="52" t="e">
        <f t="shared" si="34"/>
        <v>#DIV/0!</v>
      </c>
      <c r="DL27" s="52" t="e">
        <f t="shared" si="35"/>
        <v>#DIV/0!</v>
      </c>
      <c r="DM27" s="52">
        <f t="shared" si="81"/>
        <v>0</v>
      </c>
      <c r="DN27" s="52" t="e">
        <f t="shared" si="36"/>
        <v>#DIV/0!</v>
      </c>
      <c r="DO27" s="52" t="e">
        <f t="shared" si="37"/>
        <v>#DIV/0!</v>
      </c>
      <c r="DP27" s="52" t="e">
        <f t="shared" si="38"/>
        <v>#DIV/0!</v>
      </c>
      <c r="DQ27" s="52">
        <f t="shared" si="82"/>
        <v>0</v>
      </c>
      <c r="DR27" s="52" t="e">
        <f t="shared" si="39"/>
        <v>#DIV/0!</v>
      </c>
      <c r="DS27" s="52" t="e">
        <f t="shared" si="40"/>
        <v>#DIV/0!</v>
      </c>
      <c r="DT27" s="52" t="e">
        <f t="shared" si="41"/>
        <v>#DIV/0!</v>
      </c>
      <c r="DU27" s="52">
        <f t="shared" si="83"/>
        <v>0</v>
      </c>
      <c r="DV27" s="52" t="e">
        <f t="shared" si="42"/>
        <v>#DIV/0!</v>
      </c>
      <c r="DW27" s="52" t="e">
        <f t="shared" si="43"/>
        <v>#DIV/0!</v>
      </c>
      <c r="DX27" s="52" t="e">
        <f t="shared" si="44"/>
        <v>#DIV/0!</v>
      </c>
      <c r="DY27" s="52">
        <f t="shared" si="84"/>
        <v>0</v>
      </c>
      <c r="DZ27" s="52" t="e">
        <f t="shared" si="45"/>
        <v>#DIV/0!</v>
      </c>
      <c r="EA27" s="52" t="e">
        <f t="shared" si="46"/>
        <v>#DIV/0!</v>
      </c>
      <c r="EB27" s="52" t="e">
        <f t="shared" si="47"/>
        <v>#DIV/0!</v>
      </c>
      <c r="EC27" s="52">
        <f t="shared" si="85"/>
        <v>1</v>
      </c>
      <c r="ED27" s="52" t="e">
        <f t="shared" si="48"/>
        <v>#DIV/0!</v>
      </c>
      <c r="EE27" s="52" t="e">
        <f t="shared" si="49"/>
        <v>#DIV/0!</v>
      </c>
      <c r="EF27" s="52" t="e">
        <f t="shared" si="50"/>
        <v>#DIV/0!</v>
      </c>
      <c r="EG27" s="52">
        <f t="shared" si="86"/>
        <v>0</v>
      </c>
      <c r="EH27" s="52" t="e">
        <f t="shared" si="51"/>
        <v>#DIV/0!</v>
      </c>
      <c r="EI27" s="52" t="e">
        <f t="shared" si="52"/>
        <v>#DIV/0!</v>
      </c>
      <c r="EJ27" s="52" t="e">
        <f t="shared" si="53"/>
        <v>#DIV/0!</v>
      </c>
      <c r="EK27" s="52">
        <f t="shared" si="87"/>
        <v>1</v>
      </c>
      <c r="EL27" s="52" t="e">
        <f t="shared" si="54"/>
        <v>#DIV/0!</v>
      </c>
      <c r="EM27" s="52"/>
      <c r="EN27" s="64">
        <f t="shared" si="88"/>
        <v>1</v>
      </c>
      <c r="EO27" s="64">
        <f t="shared" si="89"/>
        <v>0</v>
      </c>
      <c r="EP27" s="64" t="str">
        <f t="shared" si="91"/>
        <v>1</v>
      </c>
      <c r="EQ27" s="64" t="str">
        <f t="shared" si="90"/>
        <v>0</v>
      </c>
    </row>
    <row r="28" spans="1:147" s="60" customFormat="1" x14ac:dyDescent="0.25">
      <c r="A28" s="59"/>
      <c r="B28" s="55"/>
      <c r="C28" s="56"/>
      <c r="D28" s="57" t="s">
        <v>8</v>
      </c>
      <c r="E28" s="57" t="s">
        <v>38</v>
      </c>
      <c r="F28" s="57" t="s">
        <v>31</v>
      </c>
      <c r="G28" s="57" t="s">
        <v>1</v>
      </c>
      <c r="H28" s="58"/>
      <c r="I28" s="59"/>
      <c r="J28" s="59"/>
      <c r="K28" s="59"/>
      <c r="L28" s="59"/>
      <c r="M28" s="19">
        <f t="shared" si="55"/>
        <v>0</v>
      </c>
      <c r="N28" s="19">
        <f t="shared" si="0"/>
        <v>0</v>
      </c>
      <c r="O28" s="56"/>
      <c r="P28" s="56" t="s">
        <v>120</v>
      </c>
      <c r="Q28" s="56" t="s">
        <v>212</v>
      </c>
      <c r="R28" s="56"/>
      <c r="U28" s="4">
        <f t="shared" si="56"/>
        <v>0</v>
      </c>
      <c r="AB28" s="5">
        <f t="shared" si="57"/>
        <v>0</v>
      </c>
      <c r="AC28" s="5">
        <f t="shared" si="58"/>
        <v>0</v>
      </c>
      <c r="AD28" s="5">
        <f t="shared" si="1"/>
        <v>0</v>
      </c>
      <c r="AE28" s="43">
        <f t="shared" si="2"/>
        <v>0</v>
      </c>
      <c r="AF28" s="3">
        <f t="shared" si="59"/>
        <v>0</v>
      </c>
      <c r="AG28" s="3">
        <f t="shared" si="60"/>
        <v>0</v>
      </c>
      <c r="AH28" s="3">
        <f t="shared" si="61"/>
        <v>0</v>
      </c>
      <c r="AI28" s="3">
        <f t="shared" si="62"/>
        <v>0</v>
      </c>
      <c r="AJ28" s="3">
        <f t="shared" si="63"/>
        <v>0</v>
      </c>
      <c r="AK28" s="3">
        <f t="shared" si="64"/>
        <v>0</v>
      </c>
      <c r="AL28" s="3">
        <f t="shared" si="65"/>
        <v>0</v>
      </c>
      <c r="AM28" s="3">
        <f t="shared" si="66"/>
        <v>0</v>
      </c>
      <c r="AN28" s="3">
        <f t="shared" si="67"/>
        <v>0</v>
      </c>
      <c r="AO28" s="54">
        <f t="shared" si="68"/>
        <v>0</v>
      </c>
      <c r="AQ28" s="57" t="s">
        <v>42</v>
      </c>
      <c r="AU28" s="104">
        <f t="shared" si="69"/>
        <v>0</v>
      </c>
      <c r="AV28" s="104">
        <f t="shared" si="3"/>
        <v>0</v>
      </c>
      <c r="AW28" s="79"/>
      <c r="AX28" s="8"/>
      <c r="AY28" s="52" t="e">
        <f t="shared" si="4"/>
        <v>#DIV/0!</v>
      </c>
      <c r="AZ28" s="52" t="e">
        <f t="shared" si="5"/>
        <v>#DIV/0!</v>
      </c>
      <c r="BA28" s="52" t="e">
        <f t="shared" si="6"/>
        <v>#DIV/0!</v>
      </c>
      <c r="BB28" s="52" t="e">
        <f t="shared" si="7"/>
        <v>#DIV/0!</v>
      </c>
      <c r="BC28" s="52" t="e">
        <f t="shared" si="8"/>
        <v>#DIV/0!</v>
      </c>
      <c r="BD28" s="52" t="e">
        <f t="shared" si="9"/>
        <v>#DIV/0!</v>
      </c>
      <c r="BE28" s="52" t="e">
        <f t="shared" si="10"/>
        <v>#DIV/0!</v>
      </c>
      <c r="BF28" s="52" t="e">
        <f t="shared" si="11"/>
        <v>#DIV/0!</v>
      </c>
      <c r="BG28" s="52" t="e">
        <f t="shared" si="12"/>
        <v>#DIV/0!</v>
      </c>
      <c r="BH28" s="52" t="e">
        <f t="shared" si="70"/>
        <v>#DIV/0!</v>
      </c>
      <c r="BI28" s="10"/>
      <c r="BJ28" s="10"/>
      <c r="BK28" s="10"/>
      <c r="BL28" s="10"/>
      <c r="BM28" s="10"/>
      <c r="BN28" s="113" t="e">
        <f>AR28/VLOOKUP(AP28,References!$A$3:$C$53,2,FALSE)</f>
        <v>#N/A</v>
      </c>
      <c r="BO28" s="113">
        <f t="shared" si="71"/>
        <v>0</v>
      </c>
      <c r="BP28" s="113" t="e">
        <f t="shared" si="13"/>
        <v>#DIV/0!</v>
      </c>
      <c r="BQ28" s="113">
        <f>((R28*(VLOOKUP(Q28,References!$A$57:$D$110,2,FALSE))%)+(S28*(VLOOKUP(Q28,References!$A$57:$D$110,2,FALSE))%)*(CW28+DA28+DM28))</f>
        <v>0</v>
      </c>
      <c r="BR28" s="113">
        <f>((R28*(VLOOKUP(Q28,References!$A$57:$D$110,3,FALSE))%)+(S28*(VLOOKUP(Q28,References!$A$57:$D$110,3,FALSE))%)*(CW28+DA28+DM28))</f>
        <v>0</v>
      </c>
      <c r="BS28" s="113">
        <f>((R28*(VLOOKUP(Q28,References!$A$57:$D$110,4,FALSE))%)+(S28*(VLOOKUP(Q28,References!$A$57:$D$110,4,FALSE))%)*(CW28+DA28+DM28))</f>
        <v>0</v>
      </c>
      <c r="BT28" s="10">
        <f>((((R28+S28)/100)*VLOOKUP(Q28,References!$A$58:$M$110,13,FALSE))*(CW28+DA28+DM28))</f>
        <v>0</v>
      </c>
      <c r="BU28" s="10" t="e">
        <f>(AR28/1000)*VLOOKUP(AP28,References!$A$4:$P$54,11,FALSE)</f>
        <v>#N/A</v>
      </c>
      <c r="BV28" s="10" t="e">
        <f>(AR28/1000)*VLOOKUP(AP28,References!$A$4:$P$54,12,FALSE)</f>
        <v>#N/A</v>
      </c>
      <c r="BW28" s="10" t="e">
        <f>(AR28/1000)*VLOOKUP(AP28,References!$A$4:$P$54,13,FALSE)</f>
        <v>#N/A</v>
      </c>
      <c r="BX28" s="113">
        <f t="shared" si="72"/>
        <v>0</v>
      </c>
      <c r="BY28" s="113">
        <f t="shared" si="73"/>
        <v>0</v>
      </c>
      <c r="BZ28" s="113">
        <f t="shared" si="74"/>
        <v>0</v>
      </c>
      <c r="CA28" s="113" t="e">
        <f t="shared" si="15"/>
        <v>#DIV/0!</v>
      </c>
      <c r="CB28" s="113" t="e">
        <f t="shared" si="16"/>
        <v>#DIV/0!</v>
      </c>
      <c r="CC28" s="113" t="e">
        <f t="shared" si="17"/>
        <v>#DIV/0!</v>
      </c>
      <c r="CD28" s="113" t="e">
        <f t="shared" si="18"/>
        <v>#DIV/0!</v>
      </c>
      <c r="CE28" s="113" t="e">
        <f t="shared" si="19"/>
        <v>#DIV/0!</v>
      </c>
      <c r="CF28" s="113" t="e">
        <f t="shared" si="20"/>
        <v>#DIV/0!</v>
      </c>
      <c r="CG28" s="113"/>
      <c r="CH28" s="113"/>
      <c r="CI28" s="113"/>
      <c r="CJ28" s="113"/>
      <c r="CK28" s="113"/>
      <c r="CL28" s="113"/>
      <c r="CM28" s="113" t="e">
        <f t="shared" si="21"/>
        <v>#DIV/0!</v>
      </c>
      <c r="CN28" s="113" t="e">
        <f>R28*VLOOKUP(Q28,References!$A$86:$E$158,2,FALSE)+S28*VLOOKUP(Q28,References!$A$86:$E$158,2,FALSE)</f>
        <v>#N/A</v>
      </c>
      <c r="CO28" s="113" t="e">
        <f>((VLOOKUP(Q28,References!$A$86:$E$158,3,FALSE)-(CN28/C$7))/(VLOOKUP(Q28,References!$A$86:$E$158,3,FALSE)))</f>
        <v>#N/A</v>
      </c>
      <c r="CP28" s="101" t="e">
        <f t="shared" si="75"/>
        <v>#N/A</v>
      </c>
      <c r="CQ28" s="113">
        <f t="shared" si="76"/>
        <v>0</v>
      </c>
      <c r="CR28" s="113">
        <f t="shared" si="22"/>
        <v>0</v>
      </c>
      <c r="CS28" s="113">
        <f t="shared" si="23"/>
        <v>0</v>
      </c>
      <c r="CT28" s="113"/>
      <c r="CU28" s="10"/>
      <c r="CV28" s="10"/>
      <c r="CW28" s="52">
        <f t="shared" si="77"/>
        <v>0</v>
      </c>
      <c r="CX28" s="52" t="e">
        <f t="shared" si="24"/>
        <v>#DIV/0!</v>
      </c>
      <c r="CY28" s="52" t="e">
        <f t="shared" si="25"/>
        <v>#DIV/0!</v>
      </c>
      <c r="CZ28" s="52" t="e">
        <f t="shared" si="26"/>
        <v>#DIV/0!</v>
      </c>
      <c r="DA28" s="52">
        <f t="shared" si="78"/>
        <v>0</v>
      </c>
      <c r="DB28" s="52" t="e">
        <f t="shared" si="27"/>
        <v>#DIV/0!</v>
      </c>
      <c r="DC28" s="52" t="e">
        <f t="shared" si="28"/>
        <v>#DIV/0!</v>
      </c>
      <c r="DD28" s="52" t="e">
        <f t="shared" si="29"/>
        <v>#DIV/0!</v>
      </c>
      <c r="DE28" s="52">
        <f t="shared" si="79"/>
        <v>0</v>
      </c>
      <c r="DF28" s="52" t="e">
        <f t="shared" si="30"/>
        <v>#DIV/0!</v>
      </c>
      <c r="DG28" s="52" t="e">
        <f t="shared" si="31"/>
        <v>#DIV/0!</v>
      </c>
      <c r="DH28" s="52" t="e">
        <f t="shared" si="32"/>
        <v>#DIV/0!</v>
      </c>
      <c r="DI28" s="52">
        <f t="shared" si="80"/>
        <v>0</v>
      </c>
      <c r="DJ28" s="52" t="e">
        <f t="shared" si="33"/>
        <v>#DIV/0!</v>
      </c>
      <c r="DK28" s="52" t="e">
        <f t="shared" si="34"/>
        <v>#DIV/0!</v>
      </c>
      <c r="DL28" s="52" t="e">
        <f t="shared" si="35"/>
        <v>#DIV/0!</v>
      </c>
      <c r="DM28" s="52">
        <f t="shared" si="81"/>
        <v>0</v>
      </c>
      <c r="DN28" s="52" t="e">
        <f t="shared" si="36"/>
        <v>#DIV/0!</v>
      </c>
      <c r="DO28" s="52" t="e">
        <f t="shared" si="37"/>
        <v>#DIV/0!</v>
      </c>
      <c r="DP28" s="52" t="e">
        <f t="shared" si="38"/>
        <v>#DIV/0!</v>
      </c>
      <c r="DQ28" s="52">
        <f t="shared" si="82"/>
        <v>0</v>
      </c>
      <c r="DR28" s="52" t="e">
        <f t="shared" si="39"/>
        <v>#DIV/0!</v>
      </c>
      <c r="DS28" s="52" t="e">
        <f t="shared" si="40"/>
        <v>#DIV/0!</v>
      </c>
      <c r="DT28" s="52" t="e">
        <f t="shared" si="41"/>
        <v>#DIV/0!</v>
      </c>
      <c r="DU28" s="52">
        <f t="shared" si="83"/>
        <v>0</v>
      </c>
      <c r="DV28" s="52" t="e">
        <f t="shared" si="42"/>
        <v>#DIV/0!</v>
      </c>
      <c r="DW28" s="52" t="e">
        <f t="shared" si="43"/>
        <v>#DIV/0!</v>
      </c>
      <c r="DX28" s="52" t="e">
        <f t="shared" si="44"/>
        <v>#DIV/0!</v>
      </c>
      <c r="DY28" s="52">
        <f t="shared" si="84"/>
        <v>1</v>
      </c>
      <c r="DZ28" s="52" t="e">
        <f t="shared" si="45"/>
        <v>#DIV/0!</v>
      </c>
      <c r="EA28" s="52" t="e">
        <f t="shared" si="46"/>
        <v>#DIV/0!</v>
      </c>
      <c r="EB28" s="52" t="e">
        <f t="shared" si="47"/>
        <v>#DIV/0!</v>
      </c>
      <c r="EC28" s="52">
        <f t="shared" si="85"/>
        <v>0</v>
      </c>
      <c r="ED28" s="52" t="e">
        <f t="shared" si="48"/>
        <v>#DIV/0!</v>
      </c>
      <c r="EE28" s="52" t="e">
        <f t="shared" si="49"/>
        <v>#DIV/0!</v>
      </c>
      <c r="EF28" s="52" t="e">
        <f t="shared" si="50"/>
        <v>#DIV/0!</v>
      </c>
      <c r="EG28" s="52">
        <f t="shared" si="86"/>
        <v>0</v>
      </c>
      <c r="EH28" s="52" t="e">
        <f t="shared" si="51"/>
        <v>#DIV/0!</v>
      </c>
      <c r="EI28" s="52" t="e">
        <f t="shared" si="52"/>
        <v>#DIV/0!</v>
      </c>
      <c r="EJ28" s="52" t="e">
        <f t="shared" si="53"/>
        <v>#DIV/0!</v>
      </c>
      <c r="EK28" s="52">
        <f t="shared" si="87"/>
        <v>1</v>
      </c>
      <c r="EL28" s="52" t="e">
        <f t="shared" si="54"/>
        <v>#DIV/0!</v>
      </c>
      <c r="EM28" s="52"/>
      <c r="EN28" s="64">
        <f t="shared" si="88"/>
        <v>1</v>
      </c>
      <c r="EO28" s="64">
        <f t="shared" si="89"/>
        <v>0</v>
      </c>
      <c r="EP28" s="64" t="str">
        <f t="shared" si="91"/>
        <v>1</v>
      </c>
      <c r="EQ28" s="64" t="str">
        <f t="shared" si="90"/>
        <v>0</v>
      </c>
    </row>
    <row r="29" spans="1:147" s="60" customFormat="1" x14ac:dyDescent="0.25">
      <c r="A29" s="59"/>
      <c r="B29" s="55"/>
      <c r="C29" s="56"/>
      <c r="D29" s="57" t="s">
        <v>9</v>
      </c>
      <c r="E29" s="57" t="s">
        <v>13</v>
      </c>
      <c r="F29" s="57" t="s">
        <v>32</v>
      </c>
      <c r="G29" s="57" t="s">
        <v>1</v>
      </c>
      <c r="H29" s="58"/>
      <c r="I29" s="59"/>
      <c r="J29" s="59"/>
      <c r="K29" s="59"/>
      <c r="L29" s="59"/>
      <c r="M29" s="19">
        <f t="shared" si="55"/>
        <v>0</v>
      </c>
      <c r="N29" s="19">
        <f t="shared" si="0"/>
        <v>0</v>
      </c>
      <c r="O29" s="56"/>
      <c r="P29" s="56" t="s">
        <v>120</v>
      </c>
      <c r="Q29" s="56" t="s">
        <v>212</v>
      </c>
      <c r="R29" s="56"/>
      <c r="U29" s="4">
        <f t="shared" si="56"/>
        <v>0</v>
      </c>
      <c r="AB29" s="5">
        <f t="shared" si="57"/>
        <v>0</v>
      </c>
      <c r="AC29" s="5">
        <f t="shared" si="58"/>
        <v>0</v>
      </c>
      <c r="AD29" s="5">
        <f t="shared" si="1"/>
        <v>0</v>
      </c>
      <c r="AE29" s="43">
        <f t="shared" si="2"/>
        <v>0</v>
      </c>
      <c r="AF29" s="3">
        <f t="shared" si="59"/>
        <v>0</v>
      </c>
      <c r="AG29" s="3">
        <f t="shared" si="60"/>
        <v>0</v>
      </c>
      <c r="AH29" s="3">
        <f t="shared" si="61"/>
        <v>0</v>
      </c>
      <c r="AI29" s="3">
        <f t="shared" si="62"/>
        <v>0</v>
      </c>
      <c r="AJ29" s="3">
        <f t="shared" si="63"/>
        <v>0</v>
      </c>
      <c r="AK29" s="3">
        <f t="shared" si="64"/>
        <v>0</v>
      </c>
      <c r="AL29" s="3">
        <f t="shared" si="65"/>
        <v>0</v>
      </c>
      <c r="AM29" s="3">
        <f t="shared" si="66"/>
        <v>0</v>
      </c>
      <c r="AN29" s="3">
        <f t="shared" si="67"/>
        <v>0</v>
      </c>
      <c r="AO29" s="54">
        <f t="shared" si="68"/>
        <v>0</v>
      </c>
      <c r="AQ29" s="57" t="s">
        <v>42</v>
      </c>
      <c r="AU29" s="104">
        <f t="shared" si="69"/>
        <v>0</v>
      </c>
      <c r="AV29" s="104">
        <f t="shared" si="3"/>
        <v>0</v>
      </c>
      <c r="AW29" s="79"/>
      <c r="AX29" s="8"/>
      <c r="AY29" s="52" t="e">
        <f t="shared" si="4"/>
        <v>#DIV/0!</v>
      </c>
      <c r="AZ29" s="52" t="e">
        <f t="shared" si="5"/>
        <v>#DIV/0!</v>
      </c>
      <c r="BA29" s="52" t="e">
        <f t="shared" si="6"/>
        <v>#DIV/0!</v>
      </c>
      <c r="BB29" s="52" t="e">
        <f t="shared" si="7"/>
        <v>#DIV/0!</v>
      </c>
      <c r="BC29" s="52" t="e">
        <f t="shared" si="8"/>
        <v>#DIV/0!</v>
      </c>
      <c r="BD29" s="52" t="e">
        <f t="shared" si="9"/>
        <v>#DIV/0!</v>
      </c>
      <c r="BE29" s="52" t="e">
        <f t="shared" si="10"/>
        <v>#DIV/0!</v>
      </c>
      <c r="BF29" s="52" t="e">
        <f t="shared" si="11"/>
        <v>#DIV/0!</v>
      </c>
      <c r="BG29" s="52" t="e">
        <f t="shared" si="12"/>
        <v>#DIV/0!</v>
      </c>
      <c r="BH29" s="52" t="e">
        <f t="shared" si="70"/>
        <v>#DIV/0!</v>
      </c>
      <c r="BI29" s="10"/>
      <c r="BJ29" s="10"/>
      <c r="BK29" s="10"/>
      <c r="BL29" s="10"/>
      <c r="BM29" s="10"/>
      <c r="BN29" s="113" t="e">
        <f>AR29/VLOOKUP(AP29,References!$A$3:$C$53,2,FALSE)</f>
        <v>#N/A</v>
      </c>
      <c r="BO29" s="113">
        <f t="shared" si="71"/>
        <v>0</v>
      </c>
      <c r="BP29" s="113" t="e">
        <f t="shared" si="13"/>
        <v>#DIV/0!</v>
      </c>
      <c r="BQ29" s="113">
        <f>((R29*(VLOOKUP(Q29,References!$A$57:$D$110,2,FALSE))%)+(S29*(VLOOKUP(Q29,References!$A$57:$D$110,2,FALSE))%)*(CW29+DA29+DM29))</f>
        <v>0</v>
      </c>
      <c r="BR29" s="113">
        <f>((R29*(VLOOKUP(Q29,References!$A$57:$D$110,3,FALSE))%)+(S29*(VLOOKUP(Q29,References!$A$57:$D$110,3,FALSE))%)*(CW29+DA29+DM29))</f>
        <v>0</v>
      </c>
      <c r="BS29" s="113">
        <f>((R29*(VLOOKUP(Q29,References!$A$57:$D$110,4,FALSE))%)+(S29*(VLOOKUP(Q29,References!$A$57:$D$110,4,FALSE))%)*(CW29+DA29+DM29))</f>
        <v>0</v>
      </c>
      <c r="BT29" s="10">
        <f>((((R29+S29)/100)*VLOOKUP(Q29,References!$A$58:$M$110,13,FALSE))*(CW29+DA29+DM29))</f>
        <v>0</v>
      </c>
      <c r="BU29" s="10" t="e">
        <f>(AR29/1000)*VLOOKUP(AP29,References!$A$4:$P$54,11,FALSE)</f>
        <v>#N/A</v>
      </c>
      <c r="BV29" s="10" t="e">
        <f>(AR29/1000)*VLOOKUP(AP29,References!$A$4:$P$54,12,FALSE)</f>
        <v>#N/A</v>
      </c>
      <c r="BW29" s="10" t="e">
        <f>(AR29/1000)*VLOOKUP(AP29,References!$A$4:$P$54,13,FALSE)</f>
        <v>#N/A</v>
      </c>
      <c r="BX29" s="113">
        <f t="shared" si="72"/>
        <v>0</v>
      </c>
      <c r="BY29" s="113">
        <f t="shared" si="73"/>
        <v>0</v>
      </c>
      <c r="BZ29" s="113">
        <f t="shared" si="74"/>
        <v>0</v>
      </c>
      <c r="CA29" s="113" t="e">
        <f t="shared" si="15"/>
        <v>#DIV/0!</v>
      </c>
      <c r="CB29" s="113" t="e">
        <f t="shared" si="16"/>
        <v>#DIV/0!</v>
      </c>
      <c r="CC29" s="113" t="e">
        <f t="shared" si="17"/>
        <v>#DIV/0!</v>
      </c>
      <c r="CD29" s="113" t="e">
        <f t="shared" si="18"/>
        <v>#DIV/0!</v>
      </c>
      <c r="CE29" s="113" t="e">
        <f t="shared" si="19"/>
        <v>#DIV/0!</v>
      </c>
      <c r="CF29" s="113" t="e">
        <f t="shared" si="20"/>
        <v>#DIV/0!</v>
      </c>
      <c r="CG29" s="113"/>
      <c r="CH29" s="113"/>
      <c r="CI29" s="113"/>
      <c r="CJ29" s="113"/>
      <c r="CK29" s="113"/>
      <c r="CL29" s="113"/>
      <c r="CM29" s="113" t="e">
        <f t="shared" si="21"/>
        <v>#DIV/0!</v>
      </c>
      <c r="CN29" s="113" t="e">
        <f>R29*VLOOKUP(Q29,References!$A$86:$E$158,2,FALSE)+S29*VLOOKUP(Q29,References!$A$86:$E$158,2,FALSE)</f>
        <v>#N/A</v>
      </c>
      <c r="CO29" s="113" t="e">
        <f>((VLOOKUP(Q29,References!$A$86:$E$158,3,FALSE)-(CN29/C$7))/(VLOOKUP(Q29,References!$A$86:$E$158,3,FALSE)))</f>
        <v>#N/A</v>
      </c>
      <c r="CP29" s="101" t="e">
        <f t="shared" si="75"/>
        <v>#N/A</v>
      </c>
      <c r="CQ29" s="113">
        <f t="shared" si="76"/>
        <v>0</v>
      </c>
      <c r="CR29" s="113">
        <f t="shared" si="22"/>
        <v>0</v>
      </c>
      <c r="CS29" s="113">
        <f t="shared" si="23"/>
        <v>0</v>
      </c>
      <c r="CT29" s="113"/>
      <c r="CU29" s="10"/>
      <c r="CV29" s="10"/>
      <c r="CW29" s="52">
        <f t="shared" si="77"/>
        <v>0</v>
      </c>
      <c r="CX29" s="52" t="e">
        <f t="shared" si="24"/>
        <v>#DIV/0!</v>
      </c>
      <c r="CY29" s="52" t="e">
        <f t="shared" si="25"/>
        <v>#DIV/0!</v>
      </c>
      <c r="CZ29" s="52" t="e">
        <f t="shared" si="26"/>
        <v>#DIV/0!</v>
      </c>
      <c r="DA29" s="52">
        <f t="shared" si="78"/>
        <v>0</v>
      </c>
      <c r="DB29" s="52" t="e">
        <f t="shared" si="27"/>
        <v>#DIV/0!</v>
      </c>
      <c r="DC29" s="52" t="e">
        <f t="shared" si="28"/>
        <v>#DIV/0!</v>
      </c>
      <c r="DD29" s="52" t="e">
        <f t="shared" si="29"/>
        <v>#DIV/0!</v>
      </c>
      <c r="DE29" s="52">
        <f t="shared" si="79"/>
        <v>0</v>
      </c>
      <c r="DF29" s="52" t="e">
        <f t="shared" si="30"/>
        <v>#DIV/0!</v>
      </c>
      <c r="DG29" s="52" t="e">
        <f t="shared" si="31"/>
        <v>#DIV/0!</v>
      </c>
      <c r="DH29" s="52" t="e">
        <f t="shared" si="32"/>
        <v>#DIV/0!</v>
      </c>
      <c r="DI29" s="52">
        <f t="shared" si="80"/>
        <v>0</v>
      </c>
      <c r="DJ29" s="52" t="e">
        <f t="shared" si="33"/>
        <v>#DIV/0!</v>
      </c>
      <c r="DK29" s="52" t="e">
        <f t="shared" si="34"/>
        <v>#DIV/0!</v>
      </c>
      <c r="DL29" s="52" t="e">
        <f t="shared" si="35"/>
        <v>#DIV/0!</v>
      </c>
      <c r="DM29" s="52">
        <f t="shared" si="81"/>
        <v>0</v>
      </c>
      <c r="DN29" s="52" t="e">
        <f t="shared" si="36"/>
        <v>#DIV/0!</v>
      </c>
      <c r="DO29" s="52" t="e">
        <f t="shared" si="37"/>
        <v>#DIV/0!</v>
      </c>
      <c r="DP29" s="52" t="e">
        <f t="shared" si="38"/>
        <v>#DIV/0!</v>
      </c>
      <c r="DQ29" s="52">
        <f t="shared" si="82"/>
        <v>0</v>
      </c>
      <c r="DR29" s="52" t="e">
        <f t="shared" si="39"/>
        <v>#DIV/0!</v>
      </c>
      <c r="DS29" s="52" t="e">
        <f t="shared" si="40"/>
        <v>#DIV/0!</v>
      </c>
      <c r="DT29" s="52" t="e">
        <f t="shared" si="41"/>
        <v>#DIV/0!</v>
      </c>
      <c r="DU29" s="52">
        <f t="shared" si="83"/>
        <v>0</v>
      </c>
      <c r="DV29" s="52" t="e">
        <f t="shared" si="42"/>
        <v>#DIV/0!</v>
      </c>
      <c r="DW29" s="52" t="e">
        <f t="shared" si="43"/>
        <v>#DIV/0!</v>
      </c>
      <c r="DX29" s="52" t="e">
        <f t="shared" si="44"/>
        <v>#DIV/0!</v>
      </c>
      <c r="DY29" s="52">
        <f t="shared" si="84"/>
        <v>0</v>
      </c>
      <c r="DZ29" s="52" t="e">
        <f t="shared" si="45"/>
        <v>#DIV/0!</v>
      </c>
      <c r="EA29" s="52" t="e">
        <f t="shared" si="46"/>
        <v>#DIV/0!</v>
      </c>
      <c r="EB29" s="52" t="e">
        <f t="shared" si="47"/>
        <v>#DIV/0!</v>
      </c>
      <c r="EC29" s="52">
        <f t="shared" si="85"/>
        <v>1</v>
      </c>
      <c r="ED29" s="52" t="e">
        <f t="shared" si="48"/>
        <v>#DIV/0!</v>
      </c>
      <c r="EE29" s="52" t="e">
        <f t="shared" si="49"/>
        <v>#DIV/0!</v>
      </c>
      <c r="EF29" s="52" t="e">
        <f t="shared" si="50"/>
        <v>#DIV/0!</v>
      </c>
      <c r="EG29" s="52">
        <f t="shared" si="86"/>
        <v>0</v>
      </c>
      <c r="EH29" s="52" t="e">
        <f t="shared" si="51"/>
        <v>#DIV/0!</v>
      </c>
      <c r="EI29" s="52" t="e">
        <f t="shared" si="52"/>
        <v>#DIV/0!</v>
      </c>
      <c r="EJ29" s="52" t="e">
        <f t="shared" si="53"/>
        <v>#DIV/0!</v>
      </c>
      <c r="EK29" s="52">
        <f t="shared" si="87"/>
        <v>1</v>
      </c>
      <c r="EL29" s="52" t="e">
        <f t="shared" si="54"/>
        <v>#DIV/0!</v>
      </c>
      <c r="EM29" s="52"/>
      <c r="EN29" s="64">
        <f t="shared" si="88"/>
        <v>0</v>
      </c>
      <c r="EO29" s="64">
        <f t="shared" si="89"/>
        <v>1</v>
      </c>
      <c r="EP29" s="64" t="str">
        <f t="shared" si="91"/>
        <v>1</v>
      </c>
      <c r="EQ29" s="64" t="str">
        <f t="shared" si="90"/>
        <v>0</v>
      </c>
    </row>
    <row r="30" spans="1:147" s="60" customFormat="1" x14ac:dyDescent="0.25">
      <c r="A30" s="59"/>
      <c r="B30" s="55"/>
      <c r="C30" s="56"/>
      <c r="D30" s="57" t="s">
        <v>9</v>
      </c>
      <c r="E30" s="57" t="s">
        <v>13</v>
      </c>
      <c r="F30" s="57" t="s">
        <v>66</v>
      </c>
      <c r="G30" s="57" t="s">
        <v>1</v>
      </c>
      <c r="H30" s="58"/>
      <c r="I30" s="59"/>
      <c r="J30" s="59"/>
      <c r="K30" s="59"/>
      <c r="L30" s="59"/>
      <c r="M30" s="19">
        <f t="shared" si="55"/>
        <v>0</v>
      </c>
      <c r="N30" s="19">
        <f t="shared" si="0"/>
        <v>0</v>
      </c>
      <c r="O30" s="56"/>
      <c r="P30" s="56" t="s">
        <v>120</v>
      </c>
      <c r="Q30" s="56" t="s">
        <v>212</v>
      </c>
      <c r="R30" s="56"/>
      <c r="U30" s="4">
        <f t="shared" si="56"/>
        <v>0</v>
      </c>
      <c r="AB30" s="5">
        <f t="shared" si="57"/>
        <v>0</v>
      </c>
      <c r="AC30" s="5">
        <f t="shared" si="58"/>
        <v>0</v>
      </c>
      <c r="AD30" s="5">
        <f t="shared" si="1"/>
        <v>0</v>
      </c>
      <c r="AE30" s="43">
        <f t="shared" si="2"/>
        <v>0</v>
      </c>
      <c r="AF30" s="3">
        <f t="shared" si="59"/>
        <v>0</v>
      </c>
      <c r="AG30" s="3">
        <f t="shared" si="60"/>
        <v>0</v>
      </c>
      <c r="AH30" s="3">
        <f t="shared" si="61"/>
        <v>0</v>
      </c>
      <c r="AI30" s="3">
        <f t="shared" si="62"/>
        <v>0</v>
      </c>
      <c r="AJ30" s="3">
        <f t="shared" si="63"/>
        <v>0</v>
      </c>
      <c r="AK30" s="3">
        <f t="shared" si="64"/>
        <v>0</v>
      </c>
      <c r="AL30" s="3">
        <f t="shared" si="65"/>
        <v>0</v>
      </c>
      <c r="AM30" s="3">
        <f t="shared" si="66"/>
        <v>0</v>
      </c>
      <c r="AN30" s="3">
        <f t="shared" si="67"/>
        <v>0</v>
      </c>
      <c r="AO30" s="54">
        <f t="shared" si="68"/>
        <v>0</v>
      </c>
      <c r="AQ30" s="57" t="s">
        <v>42</v>
      </c>
      <c r="AU30" s="104">
        <f t="shared" si="69"/>
        <v>0</v>
      </c>
      <c r="AV30" s="104">
        <f t="shared" si="3"/>
        <v>0</v>
      </c>
      <c r="AW30" s="79"/>
      <c r="AX30" s="8"/>
      <c r="AY30" s="52" t="e">
        <f t="shared" si="4"/>
        <v>#DIV/0!</v>
      </c>
      <c r="AZ30" s="52" t="e">
        <f t="shared" si="5"/>
        <v>#DIV/0!</v>
      </c>
      <c r="BA30" s="52" t="e">
        <f t="shared" si="6"/>
        <v>#DIV/0!</v>
      </c>
      <c r="BB30" s="52" t="e">
        <f t="shared" si="7"/>
        <v>#DIV/0!</v>
      </c>
      <c r="BC30" s="52" t="e">
        <f t="shared" si="8"/>
        <v>#DIV/0!</v>
      </c>
      <c r="BD30" s="52" t="e">
        <f t="shared" si="9"/>
        <v>#DIV/0!</v>
      </c>
      <c r="BE30" s="52" t="e">
        <f t="shared" si="10"/>
        <v>#DIV/0!</v>
      </c>
      <c r="BF30" s="52" t="e">
        <f t="shared" si="11"/>
        <v>#DIV/0!</v>
      </c>
      <c r="BG30" s="52" t="e">
        <f t="shared" si="12"/>
        <v>#DIV/0!</v>
      </c>
      <c r="BH30" s="52" t="e">
        <f t="shared" si="70"/>
        <v>#DIV/0!</v>
      </c>
      <c r="BI30" s="10"/>
      <c r="BJ30" s="10"/>
      <c r="BK30" s="10"/>
      <c r="BL30" s="10"/>
      <c r="BM30" s="10"/>
      <c r="BN30" s="113" t="e">
        <f>AR30/VLOOKUP(AP30,References!$A$3:$C$53,2,FALSE)</f>
        <v>#N/A</v>
      </c>
      <c r="BO30" s="113">
        <f t="shared" si="71"/>
        <v>0</v>
      </c>
      <c r="BP30" s="113" t="e">
        <f t="shared" si="13"/>
        <v>#DIV/0!</v>
      </c>
      <c r="BQ30" s="113">
        <f>((R30*(VLOOKUP(Q30,References!$A$57:$D$110,2,FALSE))%)+(S30*(VLOOKUP(Q30,References!$A$57:$D$110,2,FALSE))%)*(CW30+DA30+DM30))</f>
        <v>0</v>
      </c>
      <c r="BR30" s="113">
        <f>((R30*(VLOOKUP(Q30,References!$A$57:$D$110,3,FALSE))%)+(S30*(VLOOKUP(Q30,References!$A$57:$D$110,3,FALSE))%)*(CW30+DA30+DM30))</f>
        <v>0</v>
      </c>
      <c r="BS30" s="113">
        <f>((R30*(VLOOKUP(Q30,References!$A$57:$D$110,4,FALSE))%)+(S30*(VLOOKUP(Q30,References!$A$57:$D$110,4,FALSE))%)*(CW30+DA30+DM30))</f>
        <v>0</v>
      </c>
      <c r="BT30" s="10">
        <f>((((R30+S30)/100)*VLOOKUP(Q30,References!$A$58:$M$110,13,FALSE))*(CW30+DA30+DM30))</f>
        <v>0</v>
      </c>
      <c r="BU30" s="10" t="e">
        <f>(AR30/1000)*VLOOKUP(AP30,References!$A$4:$P$54,11,FALSE)</f>
        <v>#N/A</v>
      </c>
      <c r="BV30" s="10" t="e">
        <f>(AR30/1000)*VLOOKUP(AP30,References!$A$4:$P$54,12,FALSE)</f>
        <v>#N/A</v>
      </c>
      <c r="BW30" s="10" t="e">
        <f>(AR30/1000)*VLOOKUP(AP30,References!$A$4:$P$54,13,FALSE)</f>
        <v>#N/A</v>
      </c>
      <c r="BX30" s="113">
        <f t="shared" si="72"/>
        <v>0</v>
      </c>
      <c r="BY30" s="113">
        <f t="shared" si="73"/>
        <v>0</v>
      </c>
      <c r="BZ30" s="113">
        <f t="shared" si="74"/>
        <v>0</v>
      </c>
      <c r="CA30" s="113" t="e">
        <f t="shared" si="15"/>
        <v>#DIV/0!</v>
      </c>
      <c r="CB30" s="113" t="e">
        <f t="shared" si="16"/>
        <v>#DIV/0!</v>
      </c>
      <c r="CC30" s="113" t="e">
        <f t="shared" si="17"/>
        <v>#DIV/0!</v>
      </c>
      <c r="CD30" s="113" t="e">
        <f t="shared" si="18"/>
        <v>#DIV/0!</v>
      </c>
      <c r="CE30" s="113" t="e">
        <f t="shared" si="19"/>
        <v>#DIV/0!</v>
      </c>
      <c r="CF30" s="113" t="e">
        <f t="shared" si="20"/>
        <v>#DIV/0!</v>
      </c>
      <c r="CG30" s="113"/>
      <c r="CH30" s="113"/>
      <c r="CI30" s="113"/>
      <c r="CJ30" s="113"/>
      <c r="CK30" s="113"/>
      <c r="CL30" s="113"/>
      <c r="CM30" s="113" t="e">
        <f t="shared" si="21"/>
        <v>#DIV/0!</v>
      </c>
      <c r="CN30" s="113" t="e">
        <f>R30*VLOOKUP(Q30,References!$A$86:$E$158,2,FALSE)+S30*VLOOKUP(Q30,References!$A$86:$E$158,2,FALSE)</f>
        <v>#N/A</v>
      </c>
      <c r="CO30" s="113" t="e">
        <f>((VLOOKUP(Q30,References!$A$86:$E$158,3,FALSE)-(CN30/C$7))/(VLOOKUP(Q30,References!$A$86:$E$158,3,FALSE)))</f>
        <v>#N/A</v>
      </c>
      <c r="CP30" s="101" t="e">
        <f t="shared" si="75"/>
        <v>#N/A</v>
      </c>
      <c r="CQ30" s="113">
        <f t="shared" si="76"/>
        <v>0</v>
      </c>
      <c r="CR30" s="113">
        <f t="shared" si="22"/>
        <v>0</v>
      </c>
      <c r="CS30" s="113">
        <f t="shared" si="23"/>
        <v>0</v>
      </c>
      <c r="CT30" s="113"/>
      <c r="CU30" s="10"/>
      <c r="CV30" s="10"/>
      <c r="CW30" s="52">
        <f t="shared" si="77"/>
        <v>0</v>
      </c>
      <c r="CX30" s="52" t="e">
        <f t="shared" si="24"/>
        <v>#DIV/0!</v>
      </c>
      <c r="CY30" s="52" t="e">
        <f t="shared" si="25"/>
        <v>#DIV/0!</v>
      </c>
      <c r="CZ30" s="52" t="e">
        <f t="shared" si="26"/>
        <v>#DIV/0!</v>
      </c>
      <c r="DA30" s="52">
        <f t="shared" si="78"/>
        <v>0</v>
      </c>
      <c r="DB30" s="52" t="e">
        <f t="shared" si="27"/>
        <v>#DIV/0!</v>
      </c>
      <c r="DC30" s="52" t="e">
        <f t="shared" si="28"/>
        <v>#DIV/0!</v>
      </c>
      <c r="DD30" s="52" t="e">
        <f t="shared" si="29"/>
        <v>#DIV/0!</v>
      </c>
      <c r="DE30" s="52">
        <f t="shared" si="79"/>
        <v>0</v>
      </c>
      <c r="DF30" s="52" t="e">
        <f t="shared" si="30"/>
        <v>#DIV/0!</v>
      </c>
      <c r="DG30" s="52" t="e">
        <f t="shared" si="31"/>
        <v>#DIV/0!</v>
      </c>
      <c r="DH30" s="52" t="e">
        <f t="shared" si="32"/>
        <v>#DIV/0!</v>
      </c>
      <c r="DI30" s="52">
        <f t="shared" si="80"/>
        <v>0</v>
      </c>
      <c r="DJ30" s="52" t="e">
        <f t="shared" si="33"/>
        <v>#DIV/0!</v>
      </c>
      <c r="DK30" s="52" t="e">
        <f t="shared" si="34"/>
        <v>#DIV/0!</v>
      </c>
      <c r="DL30" s="52" t="e">
        <f t="shared" si="35"/>
        <v>#DIV/0!</v>
      </c>
      <c r="DM30" s="52">
        <f t="shared" si="81"/>
        <v>0</v>
      </c>
      <c r="DN30" s="52" t="e">
        <f t="shared" si="36"/>
        <v>#DIV/0!</v>
      </c>
      <c r="DO30" s="52" t="e">
        <f t="shared" si="37"/>
        <v>#DIV/0!</v>
      </c>
      <c r="DP30" s="52" t="e">
        <f t="shared" si="38"/>
        <v>#DIV/0!</v>
      </c>
      <c r="DQ30" s="52">
        <f t="shared" si="82"/>
        <v>0</v>
      </c>
      <c r="DR30" s="52" t="e">
        <f t="shared" si="39"/>
        <v>#DIV/0!</v>
      </c>
      <c r="DS30" s="52" t="e">
        <f t="shared" si="40"/>
        <v>#DIV/0!</v>
      </c>
      <c r="DT30" s="52" t="e">
        <f t="shared" si="41"/>
        <v>#DIV/0!</v>
      </c>
      <c r="DU30" s="52">
        <f t="shared" si="83"/>
        <v>0</v>
      </c>
      <c r="DV30" s="52" t="e">
        <f t="shared" si="42"/>
        <v>#DIV/0!</v>
      </c>
      <c r="DW30" s="52" t="e">
        <f t="shared" si="43"/>
        <v>#DIV/0!</v>
      </c>
      <c r="DX30" s="52" t="e">
        <f t="shared" si="44"/>
        <v>#DIV/0!</v>
      </c>
      <c r="DY30" s="52">
        <f t="shared" si="84"/>
        <v>0</v>
      </c>
      <c r="DZ30" s="52" t="e">
        <f t="shared" si="45"/>
        <v>#DIV/0!</v>
      </c>
      <c r="EA30" s="52" t="e">
        <f t="shared" si="46"/>
        <v>#DIV/0!</v>
      </c>
      <c r="EB30" s="52" t="e">
        <f t="shared" si="47"/>
        <v>#DIV/0!</v>
      </c>
      <c r="EC30" s="52">
        <f t="shared" si="85"/>
        <v>1</v>
      </c>
      <c r="ED30" s="52" t="e">
        <f t="shared" si="48"/>
        <v>#DIV/0!</v>
      </c>
      <c r="EE30" s="52" t="e">
        <f t="shared" si="49"/>
        <v>#DIV/0!</v>
      </c>
      <c r="EF30" s="52" t="e">
        <f t="shared" si="50"/>
        <v>#DIV/0!</v>
      </c>
      <c r="EG30" s="52">
        <f t="shared" si="86"/>
        <v>0</v>
      </c>
      <c r="EH30" s="52" t="e">
        <f t="shared" si="51"/>
        <v>#DIV/0!</v>
      </c>
      <c r="EI30" s="52" t="e">
        <f t="shared" si="52"/>
        <v>#DIV/0!</v>
      </c>
      <c r="EJ30" s="52" t="e">
        <f t="shared" si="53"/>
        <v>#DIV/0!</v>
      </c>
      <c r="EK30" s="52">
        <f t="shared" si="87"/>
        <v>1</v>
      </c>
      <c r="EL30" s="52" t="e">
        <f t="shared" si="54"/>
        <v>#DIV/0!</v>
      </c>
      <c r="EM30" s="52"/>
      <c r="EN30" s="64">
        <f t="shared" si="88"/>
        <v>0</v>
      </c>
      <c r="EO30" s="64">
        <f t="shared" si="89"/>
        <v>1</v>
      </c>
      <c r="EP30" s="64" t="str">
        <f t="shared" si="91"/>
        <v>1</v>
      </c>
      <c r="EQ30" s="64" t="str">
        <f t="shared" si="90"/>
        <v>0</v>
      </c>
    </row>
    <row r="31" spans="1:147" s="17" customFormat="1" ht="15.75" thickBot="1" x14ac:dyDescent="0.3">
      <c r="A31" s="14"/>
      <c r="B31" s="25"/>
      <c r="C31" s="18"/>
      <c r="D31" s="26" t="s">
        <v>102</v>
      </c>
      <c r="E31" s="26" t="s">
        <v>38</v>
      </c>
      <c r="F31" s="26" t="s">
        <v>19</v>
      </c>
      <c r="G31" s="26" t="s">
        <v>1</v>
      </c>
      <c r="H31" s="27"/>
      <c r="I31" s="14"/>
      <c r="J31" s="14"/>
      <c r="K31" s="14"/>
      <c r="L31" s="14"/>
      <c r="N31" s="17">
        <f>(H31*I31)+(K31*L31)</f>
        <v>0</v>
      </c>
      <c r="O31" s="18"/>
      <c r="P31" s="18" t="s">
        <v>120</v>
      </c>
      <c r="Q31" s="18" t="s">
        <v>212</v>
      </c>
      <c r="R31" s="18"/>
      <c r="U31" s="17">
        <f t="shared" si="56"/>
        <v>0</v>
      </c>
      <c r="AB31" s="17">
        <f t="shared" si="57"/>
        <v>0</v>
      </c>
      <c r="AC31" s="17">
        <f t="shared" si="58"/>
        <v>0</v>
      </c>
      <c r="AD31" s="17">
        <f>(V31*X31)+(Y31*AA31)</f>
        <v>0</v>
      </c>
      <c r="AE31" s="17">
        <f t="shared" si="2"/>
        <v>0</v>
      </c>
      <c r="AF31" s="17">
        <f t="shared" si="59"/>
        <v>0</v>
      </c>
      <c r="AG31" s="17">
        <f t="shared" si="60"/>
        <v>0</v>
      </c>
      <c r="AH31" s="17">
        <f t="shared" si="61"/>
        <v>0</v>
      </c>
      <c r="AI31" s="17">
        <f t="shared" si="62"/>
        <v>0</v>
      </c>
      <c r="AJ31" s="17">
        <f t="shared" si="63"/>
        <v>0</v>
      </c>
      <c r="AK31" s="17">
        <f t="shared" si="64"/>
        <v>0</v>
      </c>
      <c r="AL31" s="17">
        <f t="shared" si="65"/>
        <v>0</v>
      </c>
      <c r="AM31" s="17">
        <f t="shared" si="66"/>
        <v>0</v>
      </c>
      <c r="AN31" s="17">
        <f t="shared" si="67"/>
        <v>0</v>
      </c>
      <c r="AO31" s="28">
        <f t="shared" si="68"/>
        <v>0</v>
      </c>
      <c r="AQ31" s="17" t="s">
        <v>42</v>
      </c>
      <c r="AU31" s="17">
        <f t="shared" si="69"/>
        <v>0</v>
      </c>
      <c r="AV31" s="17">
        <f t="shared" si="3"/>
        <v>0</v>
      </c>
      <c r="AW31" s="79"/>
      <c r="AX31" s="8"/>
      <c r="AY31" s="28" t="e">
        <f t="shared" si="4"/>
        <v>#DIV/0!</v>
      </c>
      <c r="AZ31" s="28" t="e">
        <f t="shared" si="5"/>
        <v>#DIV/0!</v>
      </c>
      <c r="BA31" s="28" t="e">
        <f t="shared" si="6"/>
        <v>#DIV/0!</v>
      </c>
      <c r="BB31" s="28" t="e">
        <f t="shared" si="7"/>
        <v>#DIV/0!</v>
      </c>
      <c r="BC31" s="28" t="e">
        <f t="shared" si="8"/>
        <v>#DIV/0!</v>
      </c>
      <c r="BD31" s="28" t="e">
        <f t="shared" si="9"/>
        <v>#DIV/0!</v>
      </c>
      <c r="BE31" s="28" t="e">
        <f t="shared" si="10"/>
        <v>#DIV/0!</v>
      </c>
      <c r="BF31" s="28" t="e">
        <f t="shared" si="11"/>
        <v>#DIV/0!</v>
      </c>
      <c r="BG31" s="28" t="e">
        <f t="shared" si="12"/>
        <v>#DIV/0!</v>
      </c>
      <c r="BH31" s="28" t="e">
        <f t="shared" si="70"/>
        <v>#DIV/0!</v>
      </c>
      <c r="BI31" s="156" t="s">
        <v>17</v>
      </c>
      <c r="BJ31" s="156" t="s">
        <v>87</v>
      </c>
      <c r="BK31" s="156" t="s">
        <v>88</v>
      </c>
      <c r="BL31" s="10"/>
      <c r="BM31" s="10"/>
      <c r="BN31" s="113" t="e">
        <f>AR31/VLOOKUP(AP31,References!$A$3:$C$53,2,FALSE)</f>
        <v>#N/A</v>
      </c>
      <c r="BO31" s="113">
        <f t="shared" si="71"/>
        <v>0</v>
      </c>
      <c r="BP31" s="113" t="e">
        <f t="shared" si="13"/>
        <v>#DIV/0!</v>
      </c>
      <c r="BQ31" s="113">
        <f>((R31*(VLOOKUP(Q31,References!$A$57:$D$110,2,FALSE))%)+(S31*(VLOOKUP(Q31,References!$A$57:$D$110,2,FALSE))%)*(CW31+DA31+DM31))</f>
        <v>0</v>
      </c>
      <c r="BR31" s="113">
        <f>((R31*(VLOOKUP(Q31,References!$A$57:$D$110,3,FALSE))%)+(S31*(VLOOKUP(Q31,References!$A$57:$D$110,3,FALSE))%)*(CW31+DA31+DM31))</f>
        <v>0</v>
      </c>
      <c r="BS31" s="113">
        <f>((R31*(VLOOKUP(Q31,References!$A$57:$D$110,4,FALSE))%)+(S31*(VLOOKUP(Q31,References!$A$57:$D$110,4,FALSE))%)*(CW31+DA31+DM31))</f>
        <v>0</v>
      </c>
      <c r="BT31" s="10">
        <f>((((R31+S31)/100)*VLOOKUP(Q31,References!$A$58:$M$110,13,FALSE))*(CW31+DA31+DM31))</f>
        <v>0</v>
      </c>
      <c r="BU31" s="10" t="e">
        <f>(AR31/1000)*VLOOKUP(AP31,References!$A$4:$P$54,11,FALSE)</f>
        <v>#N/A</v>
      </c>
      <c r="BV31" s="10" t="e">
        <f>(AR31/1000)*VLOOKUP(AP31,References!$A$4:$P$54,12,FALSE)</f>
        <v>#N/A</v>
      </c>
      <c r="BW31" s="10" t="e">
        <f>(AR31/1000)*VLOOKUP(AP31,References!$A$4:$P$54,13,FALSE)</f>
        <v>#N/A</v>
      </c>
      <c r="BX31" s="113">
        <f t="shared" si="72"/>
        <v>0</v>
      </c>
      <c r="BY31" s="113">
        <f t="shared" si="73"/>
        <v>0</v>
      </c>
      <c r="BZ31" s="113">
        <f t="shared" si="74"/>
        <v>0</v>
      </c>
      <c r="CA31" s="113" t="e">
        <f t="shared" si="15"/>
        <v>#DIV/0!</v>
      </c>
      <c r="CB31" s="113" t="e">
        <f t="shared" si="16"/>
        <v>#DIV/0!</v>
      </c>
      <c r="CC31" s="113" t="e">
        <f t="shared" si="17"/>
        <v>#DIV/0!</v>
      </c>
      <c r="CD31" s="113" t="e">
        <f t="shared" si="18"/>
        <v>#DIV/0!</v>
      </c>
      <c r="CE31" s="113" t="e">
        <f t="shared" si="19"/>
        <v>#DIV/0!</v>
      </c>
      <c r="CF31" s="113" t="e">
        <f t="shared" si="20"/>
        <v>#DIV/0!</v>
      </c>
      <c r="CG31" s="113"/>
      <c r="CH31" s="113"/>
      <c r="CI31" s="113"/>
      <c r="CJ31" s="113"/>
      <c r="CK31" s="113"/>
      <c r="CL31" s="113"/>
      <c r="CM31" s="113" t="e">
        <f t="shared" si="21"/>
        <v>#DIV/0!</v>
      </c>
      <c r="CN31" s="113" t="e">
        <f>R31*VLOOKUP(Q31,References!$A$86:$E$158,2,FALSE)+S31*VLOOKUP(Q31,References!$A$86:$E$158,2,FALSE)</f>
        <v>#N/A</v>
      </c>
      <c r="CO31" s="113" t="e">
        <f>((VLOOKUP(Q31,References!$A$86:$E$158,3,FALSE)-(CN31/C$7))/(VLOOKUP(Q31,References!$A$86:$E$158,3,FALSE)))</f>
        <v>#N/A</v>
      </c>
      <c r="CP31" s="101" t="e">
        <f t="shared" si="75"/>
        <v>#N/A</v>
      </c>
      <c r="CQ31" s="113">
        <f t="shared" si="76"/>
        <v>0</v>
      </c>
      <c r="CR31" s="113">
        <f t="shared" si="22"/>
        <v>0</v>
      </c>
      <c r="CS31" s="113">
        <f t="shared" si="23"/>
        <v>0</v>
      </c>
      <c r="CT31" s="113"/>
      <c r="CU31" s="10"/>
      <c r="CV31" s="10"/>
      <c r="CW31" s="28">
        <f t="shared" si="77"/>
        <v>0</v>
      </c>
      <c r="CX31" s="28" t="e">
        <f t="shared" si="24"/>
        <v>#DIV/0!</v>
      </c>
      <c r="CY31" s="28" t="e">
        <f t="shared" si="25"/>
        <v>#DIV/0!</v>
      </c>
      <c r="CZ31" s="28" t="e">
        <f t="shared" si="26"/>
        <v>#DIV/0!</v>
      </c>
      <c r="DA31" s="28">
        <f t="shared" si="78"/>
        <v>0</v>
      </c>
      <c r="DB31" s="28" t="e">
        <f t="shared" si="27"/>
        <v>#DIV/0!</v>
      </c>
      <c r="DC31" s="28" t="e">
        <f t="shared" si="28"/>
        <v>#DIV/0!</v>
      </c>
      <c r="DD31" s="28" t="e">
        <f t="shared" si="29"/>
        <v>#DIV/0!</v>
      </c>
      <c r="DE31" s="28">
        <f t="shared" si="79"/>
        <v>0</v>
      </c>
      <c r="DF31" s="28" t="e">
        <f t="shared" si="30"/>
        <v>#DIV/0!</v>
      </c>
      <c r="DG31" s="28" t="e">
        <f t="shared" si="31"/>
        <v>#DIV/0!</v>
      </c>
      <c r="DH31" s="28" t="e">
        <f t="shared" si="32"/>
        <v>#DIV/0!</v>
      </c>
      <c r="DI31" s="28">
        <f t="shared" si="80"/>
        <v>0</v>
      </c>
      <c r="DJ31" s="28" t="e">
        <f t="shared" si="33"/>
        <v>#DIV/0!</v>
      </c>
      <c r="DK31" s="28" t="e">
        <f t="shared" si="34"/>
        <v>#DIV/0!</v>
      </c>
      <c r="DL31" s="28" t="e">
        <f t="shared" si="35"/>
        <v>#DIV/0!</v>
      </c>
      <c r="DM31" s="28">
        <f t="shared" si="81"/>
        <v>0</v>
      </c>
      <c r="DN31" s="28" t="e">
        <f t="shared" si="36"/>
        <v>#DIV/0!</v>
      </c>
      <c r="DO31" s="28" t="e">
        <f t="shared" si="37"/>
        <v>#DIV/0!</v>
      </c>
      <c r="DP31" s="28" t="e">
        <f t="shared" si="38"/>
        <v>#DIV/0!</v>
      </c>
      <c r="DQ31" s="28">
        <f t="shared" si="82"/>
        <v>0</v>
      </c>
      <c r="DR31" s="28" t="e">
        <f t="shared" si="39"/>
        <v>#DIV/0!</v>
      </c>
      <c r="DS31" s="28" t="e">
        <f t="shared" si="40"/>
        <v>#DIV/0!</v>
      </c>
      <c r="DT31" s="28" t="e">
        <f t="shared" si="41"/>
        <v>#DIV/0!</v>
      </c>
      <c r="DU31" s="28">
        <f t="shared" si="83"/>
        <v>0</v>
      </c>
      <c r="DV31" s="28" t="e">
        <f t="shared" si="42"/>
        <v>#DIV/0!</v>
      </c>
      <c r="DW31" s="28" t="e">
        <f t="shared" si="43"/>
        <v>#DIV/0!</v>
      </c>
      <c r="DX31" s="28" t="e">
        <f t="shared" si="44"/>
        <v>#DIV/0!</v>
      </c>
      <c r="DY31" s="28">
        <f t="shared" si="84"/>
        <v>0</v>
      </c>
      <c r="DZ31" s="28" t="e">
        <f t="shared" si="45"/>
        <v>#DIV/0!</v>
      </c>
      <c r="EA31" s="28" t="e">
        <f t="shared" si="46"/>
        <v>#DIV/0!</v>
      </c>
      <c r="EB31" s="28" t="e">
        <f t="shared" si="47"/>
        <v>#DIV/0!</v>
      </c>
      <c r="EC31" s="28">
        <f t="shared" si="85"/>
        <v>0</v>
      </c>
      <c r="ED31" s="28" t="e">
        <f t="shared" si="48"/>
        <v>#DIV/0!</v>
      </c>
      <c r="EE31" s="17" t="e">
        <f t="shared" si="49"/>
        <v>#DIV/0!</v>
      </c>
      <c r="EF31" s="17" t="e">
        <f t="shared" si="50"/>
        <v>#DIV/0!</v>
      </c>
      <c r="EG31" s="28">
        <f t="shared" si="86"/>
        <v>1</v>
      </c>
      <c r="EH31" s="28" t="e">
        <f t="shared" si="51"/>
        <v>#DIV/0!</v>
      </c>
      <c r="EI31" s="17" t="e">
        <f t="shared" si="52"/>
        <v>#DIV/0!</v>
      </c>
      <c r="EJ31" s="17" t="e">
        <f t="shared" si="53"/>
        <v>#DIV/0!</v>
      </c>
      <c r="EK31" s="28">
        <f t="shared" si="87"/>
        <v>1</v>
      </c>
      <c r="EL31" s="17" t="e">
        <f t="shared" si="54"/>
        <v>#DIV/0!</v>
      </c>
      <c r="EN31" s="28"/>
      <c r="EO31" s="28"/>
      <c r="EP31" s="28"/>
      <c r="EQ31" s="28"/>
    </row>
    <row r="32" spans="1:147" s="36" customFormat="1" ht="19.5" thickBot="1" x14ac:dyDescent="0.35">
      <c r="A32" s="35" t="str">
        <f>A1</f>
        <v>PLOT 1</v>
      </c>
      <c r="B32" s="31">
        <f>C$3</f>
        <v>0</v>
      </c>
      <c r="C32" s="32">
        <f>C7</f>
        <v>0</v>
      </c>
      <c r="D32" s="33"/>
      <c r="E32" s="33"/>
      <c r="F32" s="33">
        <f>C5</f>
        <v>0</v>
      </c>
      <c r="G32" s="33">
        <f>C6</f>
        <v>0</v>
      </c>
      <c r="H32" s="34">
        <f t="shared" ref="H32:N32" si="147">SUM(H4:H31)</f>
        <v>0</v>
      </c>
      <c r="I32" s="35"/>
      <c r="J32" s="35">
        <f>SUM(J4:J31)</f>
        <v>0</v>
      </c>
      <c r="K32" s="35">
        <f t="shared" si="147"/>
        <v>0</v>
      </c>
      <c r="L32" s="35"/>
      <c r="M32" s="35">
        <f t="shared" si="147"/>
        <v>0</v>
      </c>
      <c r="N32" s="36">
        <f t="shared" si="147"/>
        <v>0</v>
      </c>
      <c r="O32" s="32"/>
      <c r="P32" s="32"/>
      <c r="Q32" s="32"/>
      <c r="R32" s="32">
        <f t="shared" ref="R32:W32" si="148">SUM(R4:R31)</f>
        <v>0</v>
      </c>
      <c r="S32" s="36">
        <f t="shared" si="148"/>
        <v>0</v>
      </c>
      <c r="T32" s="36">
        <f t="shared" si="148"/>
        <v>0</v>
      </c>
      <c r="U32" s="36">
        <f t="shared" si="148"/>
        <v>0</v>
      </c>
      <c r="V32" s="36">
        <f t="shared" si="148"/>
        <v>0</v>
      </c>
      <c r="W32" s="36">
        <f t="shared" si="148"/>
        <v>0</v>
      </c>
      <c r="Y32" s="36">
        <f>SUM(Y4:Y31)</f>
        <v>0</v>
      </c>
      <c r="Z32" s="36">
        <f>SUM(Z4:Z31)</f>
        <v>0</v>
      </c>
      <c r="AB32" s="36">
        <f t="shared" ref="AB32:AC32" si="149">SUM(AB4:AB31)</f>
        <v>0</v>
      </c>
      <c r="AC32" s="36">
        <f t="shared" si="149"/>
        <v>0</v>
      </c>
      <c r="AD32" s="36">
        <f>SUM(AD4:AD31)</f>
        <v>0</v>
      </c>
      <c r="AE32" s="66">
        <f>SUM(AE4:AE31)</f>
        <v>0</v>
      </c>
      <c r="AF32" s="66">
        <f>SUM(AF4:AF31)</f>
        <v>0</v>
      </c>
      <c r="AG32" s="66">
        <f t="shared" ref="AG32:AO32" si="150">SUM(AG4:AG31)</f>
        <v>0</v>
      </c>
      <c r="AH32" s="66">
        <f t="shared" si="150"/>
        <v>0</v>
      </c>
      <c r="AI32" s="66">
        <f t="shared" si="150"/>
        <v>0</v>
      </c>
      <c r="AJ32" s="66">
        <f t="shared" si="150"/>
        <v>0</v>
      </c>
      <c r="AK32" s="66">
        <f t="shared" si="150"/>
        <v>0</v>
      </c>
      <c r="AL32" s="66">
        <f t="shared" si="150"/>
        <v>0</v>
      </c>
      <c r="AM32" s="66">
        <f t="shared" si="150"/>
        <v>0</v>
      </c>
      <c r="AN32" s="66">
        <f t="shared" si="150"/>
        <v>0</v>
      </c>
      <c r="AO32" s="66">
        <f t="shared" si="150"/>
        <v>0</v>
      </c>
      <c r="AU32" s="36">
        <f>SUM(AU4:AU31)</f>
        <v>0</v>
      </c>
      <c r="AV32" s="65">
        <f>SUM(AV4:AV31)</f>
        <v>0</v>
      </c>
      <c r="AW32" s="102"/>
      <c r="AX32" s="30"/>
      <c r="AY32" s="71" t="e">
        <f t="shared" ref="AY32:AZ32" si="151">SUM(AY4:AY31)</f>
        <v>#DIV/0!</v>
      </c>
      <c r="AZ32" s="71" t="e">
        <f t="shared" si="151"/>
        <v>#DIV/0!</v>
      </c>
      <c r="BA32" s="66" t="e">
        <f>SUM(BA4:BA31)</f>
        <v>#DIV/0!</v>
      </c>
      <c r="BB32" s="66" t="e">
        <f t="shared" ref="BB32:BH32" si="152">SUM(BB4:BB31)</f>
        <v>#DIV/0!</v>
      </c>
      <c r="BC32" s="66" t="e">
        <f t="shared" ref="BC32:BE32" si="153">SUM(BC4:BC31)</f>
        <v>#DIV/0!</v>
      </c>
      <c r="BD32" s="66" t="e">
        <f t="shared" si="153"/>
        <v>#DIV/0!</v>
      </c>
      <c r="BE32" s="74" t="e">
        <f t="shared" si="153"/>
        <v>#DIV/0!</v>
      </c>
      <c r="BF32" s="66" t="e">
        <f t="shared" si="152"/>
        <v>#DIV/0!</v>
      </c>
      <c r="BG32" s="66" t="e">
        <f t="shared" si="152"/>
        <v>#DIV/0!</v>
      </c>
      <c r="BH32" s="71" t="e">
        <f t="shared" si="152"/>
        <v>#DIV/0!</v>
      </c>
      <c r="BI32" s="73" t="e">
        <f>BH32/AY32</f>
        <v>#DIV/0!</v>
      </c>
      <c r="BJ32" s="72" t="e">
        <f>BH32/AZ32</f>
        <v>#DIV/0!</v>
      </c>
      <c r="BK32" s="72" t="e">
        <f>BE32/AY32</f>
        <v>#DIV/0!</v>
      </c>
      <c r="BL32" s="112"/>
      <c r="BM32" s="112"/>
      <c r="BN32" s="112"/>
      <c r="BO32" s="114">
        <f>SUM(BO4:BO31)</f>
        <v>0</v>
      </c>
      <c r="BP32" s="114" t="e">
        <f>SUM(BP4:BP31)</f>
        <v>#DIV/0!</v>
      </c>
      <c r="BQ32" s="114">
        <f>SUM(BQ4:BQ31)</f>
        <v>0</v>
      </c>
      <c r="BR32" s="114">
        <f t="shared" ref="BR32:CR32" si="154">SUM(BR4:BR31)</f>
        <v>0</v>
      </c>
      <c r="BS32" s="114">
        <f t="shared" si="154"/>
        <v>0</v>
      </c>
      <c r="BT32" s="114">
        <f t="shared" si="154"/>
        <v>0</v>
      </c>
      <c r="BU32" s="114"/>
      <c r="BV32" s="114"/>
      <c r="BW32" s="114"/>
      <c r="BX32" s="114">
        <f t="shared" si="154"/>
        <v>0</v>
      </c>
      <c r="BY32" s="114">
        <f t="shared" si="154"/>
        <v>0</v>
      </c>
      <c r="BZ32" s="114">
        <f t="shared" si="154"/>
        <v>0</v>
      </c>
      <c r="CA32" s="114" t="e">
        <f t="shared" si="154"/>
        <v>#DIV/0!</v>
      </c>
      <c r="CB32" s="114" t="e">
        <f t="shared" si="154"/>
        <v>#DIV/0!</v>
      </c>
      <c r="CC32" s="114" t="e">
        <f t="shared" si="154"/>
        <v>#DIV/0!</v>
      </c>
      <c r="CD32" s="114" t="e">
        <f t="shared" si="154"/>
        <v>#DIV/0!</v>
      </c>
      <c r="CE32" s="114" t="e">
        <f t="shared" si="154"/>
        <v>#DIV/0!</v>
      </c>
      <c r="CF32" s="114" t="e">
        <f t="shared" si="154"/>
        <v>#DIV/0!</v>
      </c>
      <c r="CG32" s="113" t="e">
        <f>CA32-CD32</f>
        <v>#DIV/0!</v>
      </c>
      <c r="CH32" s="113" t="e">
        <f t="shared" ref="CH32" si="155">CB32-CE32</f>
        <v>#DIV/0!</v>
      </c>
      <c r="CI32" s="113" t="e">
        <f t="shared" ref="CI32" si="156">CC32-CF32</f>
        <v>#DIV/0!</v>
      </c>
      <c r="CJ32" s="113" t="e">
        <f>(VLOOKUP(C$6,References!$A$4:$AB$53,23,FALSE)-(CA32-CD32))/(VLOOKUP(C$6,References!$A$4:$AB$53,23,FALSE))</f>
        <v>#N/A</v>
      </c>
      <c r="CK32" s="113" t="e">
        <f>(VLOOKUP(C$6,References!$A$4:$AB$53,23,FALSE)-(CB32-CE32))/(VLOOKUP(C$6,References!$A$4:$AB$53,23,FALSE))</f>
        <v>#N/A</v>
      </c>
      <c r="CL32" s="113" t="e">
        <f>(VLOOKUP(C$6,References!$A$4:$AB$53,23,FALSE)-(CC32-CF32))/(VLOOKUP(C$6,References!$A$4:$AB$53,23,FALSE))</f>
        <v>#N/A</v>
      </c>
      <c r="CM32" s="114" t="e">
        <f>SUM(CM4:CM31)</f>
        <v>#DIV/0!</v>
      </c>
      <c r="CN32" s="114"/>
      <c r="CO32" s="114"/>
      <c r="CP32" s="114"/>
      <c r="CQ32" s="114">
        <f t="shared" si="154"/>
        <v>0</v>
      </c>
      <c r="CR32" s="114">
        <f t="shared" si="154"/>
        <v>0</v>
      </c>
      <c r="CS32" s="114">
        <f>1-SUM(CS4:CS31)</f>
        <v>1</v>
      </c>
      <c r="CT32" s="112"/>
      <c r="CU32" s="112"/>
      <c r="CV32" s="112"/>
      <c r="CW32" s="37" t="e">
        <f>CX32+CY32+CZ32</f>
        <v>#DIV/0!</v>
      </c>
      <c r="CX32" s="37" t="e">
        <f t="shared" ref="CX32:EF32" si="157">SUM(CX4:CX31)</f>
        <v>#DIV/0!</v>
      </c>
      <c r="CY32" s="37" t="e">
        <f t="shared" si="157"/>
        <v>#DIV/0!</v>
      </c>
      <c r="CZ32" s="37" t="e">
        <f t="shared" si="157"/>
        <v>#DIV/0!</v>
      </c>
      <c r="DA32" s="37" t="e">
        <f>DB32+DC32+DD32</f>
        <v>#DIV/0!</v>
      </c>
      <c r="DB32" s="37" t="e">
        <f t="shared" si="157"/>
        <v>#DIV/0!</v>
      </c>
      <c r="DC32" s="37" t="e">
        <f t="shared" si="157"/>
        <v>#DIV/0!</v>
      </c>
      <c r="DD32" s="37" t="e">
        <f t="shared" si="157"/>
        <v>#DIV/0!</v>
      </c>
      <c r="DE32" s="37" t="e">
        <f>DF32+DG32+DH32</f>
        <v>#DIV/0!</v>
      </c>
      <c r="DF32" s="37" t="e">
        <f t="shared" si="157"/>
        <v>#DIV/0!</v>
      </c>
      <c r="DG32" s="37" t="e">
        <f t="shared" si="157"/>
        <v>#DIV/0!</v>
      </c>
      <c r="DH32" s="37" t="e">
        <f t="shared" si="157"/>
        <v>#DIV/0!</v>
      </c>
      <c r="DI32" s="37" t="e">
        <f>DJ32+DK32+DL32</f>
        <v>#DIV/0!</v>
      </c>
      <c r="DJ32" s="37" t="e">
        <f t="shared" ref="DJ32:DL32" si="158">SUM(DJ4:DJ31)</f>
        <v>#DIV/0!</v>
      </c>
      <c r="DK32" s="37" t="e">
        <f t="shared" si="158"/>
        <v>#DIV/0!</v>
      </c>
      <c r="DL32" s="37" t="e">
        <f t="shared" si="158"/>
        <v>#DIV/0!</v>
      </c>
      <c r="DM32" s="37" t="e">
        <f>DN32+DO32+DP32</f>
        <v>#DIV/0!</v>
      </c>
      <c r="DN32" s="37" t="e">
        <f t="shared" si="157"/>
        <v>#DIV/0!</v>
      </c>
      <c r="DO32" s="37" t="e">
        <f t="shared" si="157"/>
        <v>#DIV/0!</v>
      </c>
      <c r="DP32" s="37" t="e">
        <f t="shared" si="157"/>
        <v>#DIV/0!</v>
      </c>
      <c r="DQ32" s="37" t="e">
        <f>DR32+DS32+DT32</f>
        <v>#DIV/0!</v>
      </c>
      <c r="DR32" s="37" t="e">
        <f t="shared" si="157"/>
        <v>#DIV/0!</v>
      </c>
      <c r="DS32" s="37" t="e">
        <f t="shared" si="157"/>
        <v>#DIV/0!</v>
      </c>
      <c r="DT32" s="37" t="e">
        <f t="shared" si="157"/>
        <v>#DIV/0!</v>
      </c>
      <c r="DU32" s="37" t="e">
        <f>DV32+DW32+DX32</f>
        <v>#DIV/0!</v>
      </c>
      <c r="DV32" s="37" t="e">
        <f t="shared" si="157"/>
        <v>#DIV/0!</v>
      </c>
      <c r="DW32" s="37" t="e">
        <f t="shared" si="157"/>
        <v>#DIV/0!</v>
      </c>
      <c r="DX32" s="37" t="e">
        <f t="shared" si="157"/>
        <v>#DIV/0!</v>
      </c>
      <c r="DY32" s="37" t="e">
        <f>DZ32+EA32+EB32</f>
        <v>#DIV/0!</v>
      </c>
      <c r="DZ32" s="37" t="e">
        <f t="shared" si="157"/>
        <v>#DIV/0!</v>
      </c>
      <c r="EA32" s="37" t="e">
        <f t="shared" si="157"/>
        <v>#DIV/0!</v>
      </c>
      <c r="EB32" s="37" t="e">
        <f t="shared" si="157"/>
        <v>#DIV/0!</v>
      </c>
      <c r="EC32" s="37" t="e">
        <f>ED32+EE32+EF32</f>
        <v>#DIV/0!</v>
      </c>
      <c r="ED32" s="37" t="e">
        <f t="shared" si="157"/>
        <v>#DIV/0!</v>
      </c>
      <c r="EE32" s="37" t="e">
        <f t="shared" si="157"/>
        <v>#DIV/0!</v>
      </c>
      <c r="EF32" s="37" t="e">
        <f t="shared" si="157"/>
        <v>#DIV/0!</v>
      </c>
      <c r="EG32" s="37" t="e">
        <f>EH32+EI32+EJ32</f>
        <v>#DIV/0!</v>
      </c>
      <c r="EH32" s="37" t="e">
        <f t="shared" ref="EH32:EJ32" si="159">SUM(EH4:EH31)</f>
        <v>#DIV/0!</v>
      </c>
      <c r="EI32" s="37" t="e">
        <f t="shared" si="159"/>
        <v>#DIV/0!</v>
      </c>
      <c r="EJ32" s="37" t="e">
        <f t="shared" si="159"/>
        <v>#DIV/0!</v>
      </c>
      <c r="EK32" s="37"/>
      <c r="EL32" s="37" t="e">
        <f t="shared" ref="EL32" si="160">SUM(EL4:EL31)</f>
        <v>#DIV/0!</v>
      </c>
      <c r="EM32" s="37"/>
      <c r="EN32" s="37"/>
      <c r="EO32" s="37"/>
      <c r="EP32" s="37"/>
      <c r="EQ32" s="37"/>
    </row>
    <row r="33" spans="1:145" s="8" customFormat="1" x14ac:dyDescent="0.25">
      <c r="A33" s="161"/>
      <c r="B33" s="162"/>
      <c r="C33" s="163"/>
      <c r="D33" s="164"/>
      <c r="E33" s="164"/>
      <c r="F33" s="164"/>
      <c r="G33" s="164"/>
      <c r="H33" s="165"/>
      <c r="I33" s="161"/>
      <c r="J33" s="161"/>
      <c r="K33" s="161"/>
      <c r="L33" s="161"/>
      <c r="M33" s="79"/>
      <c r="N33" s="79"/>
      <c r="O33" s="163"/>
      <c r="P33" s="163"/>
      <c r="Q33" s="163"/>
      <c r="R33" s="163"/>
      <c r="S33" s="79"/>
      <c r="T33" s="79"/>
      <c r="U33" s="79"/>
      <c r="V33" s="79"/>
      <c r="W33" s="79"/>
      <c r="X33" s="79"/>
      <c r="Y33" s="79"/>
      <c r="Z33" s="79"/>
      <c r="AA33" s="79"/>
      <c r="AB33" s="79"/>
      <c r="AC33" s="79"/>
      <c r="AD33" s="79"/>
      <c r="AE33" s="79"/>
      <c r="AF33" s="79"/>
      <c r="AG33" s="79"/>
      <c r="AH33" s="79"/>
      <c r="AI33" s="79"/>
      <c r="AJ33" s="79"/>
      <c r="AK33" s="79"/>
      <c r="AL33" s="79"/>
      <c r="AM33" s="79"/>
      <c r="AN33" s="79"/>
      <c r="AO33" s="166"/>
      <c r="AP33" s="79"/>
      <c r="AQ33" s="79"/>
      <c r="AR33" s="79"/>
      <c r="AS33" s="79"/>
      <c r="AT33" s="79"/>
      <c r="AU33" s="79"/>
      <c r="AV33" s="79"/>
      <c r="AW33" s="79"/>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G33" s="10"/>
      <c r="EH33" s="10"/>
      <c r="EK33" s="10"/>
    </row>
    <row r="34" spans="1:145" s="8" customFormat="1" x14ac:dyDescent="0.25">
      <c r="A34" s="6"/>
      <c r="B34" s="115"/>
      <c r="C34" s="9"/>
      <c r="D34" s="29"/>
      <c r="E34" s="29"/>
      <c r="F34" s="29"/>
      <c r="G34" s="29"/>
      <c r="H34" s="16"/>
      <c r="I34" s="6"/>
      <c r="J34" s="6"/>
      <c r="K34" s="6"/>
      <c r="L34" s="6"/>
      <c r="O34" s="9"/>
      <c r="P34" s="9"/>
      <c r="Q34" s="9"/>
      <c r="R34" s="9"/>
      <c r="AO34" s="10"/>
      <c r="CW34" s="10"/>
      <c r="CX34" s="10"/>
      <c r="CY34" s="10"/>
      <c r="CZ34" s="10"/>
      <c r="DA34" s="10"/>
      <c r="DB34" s="10"/>
      <c r="DC34" s="10"/>
      <c r="DD34" s="10"/>
      <c r="DE34" s="10"/>
      <c r="DF34" s="10"/>
      <c r="DG34" s="10"/>
      <c r="DH34" s="10"/>
      <c r="DI34" s="10"/>
      <c r="DJ34" s="10"/>
      <c r="DK34" s="10"/>
      <c r="DL34" s="10"/>
      <c r="DM34" s="10"/>
      <c r="DN34" s="10"/>
      <c r="DO34" s="10"/>
      <c r="DP34" s="10"/>
      <c r="DQ34" s="10"/>
      <c r="DR34" s="10"/>
      <c r="DS34" s="10"/>
      <c r="DT34" s="10"/>
      <c r="DU34" s="10"/>
      <c r="DV34" s="10"/>
      <c r="DW34" s="10"/>
      <c r="DX34" s="10"/>
      <c r="DY34" s="10"/>
      <c r="DZ34" s="10"/>
      <c r="EA34" s="10"/>
      <c r="EB34" s="10"/>
      <c r="EC34" s="10"/>
      <c r="ED34" s="10"/>
      <c r="EG34" s="10"/>
      <c r="EH34" s="10"/>
      <c r="EK34" s="10"/>
    </row>
    <row r="35" spans="1:145" x14ac:dyDescent="0.25">
      <c r="A35" s="75" t="s">
        <v>399</v>
      </c>
    </row>
    <row r="36" spans="1:145" ht="15" customHeight="1" thickBot="1" x14ac:dyDescent="0.3">
      <c r="B36" s="160" t="s">
        <v>375</v>
      </c>
      <c r="C36" s="158"/>
      <c r="D36" s="158"/>
      <c r="F36" s="88" t="s">
        <v>374</v>
      </c>
      <c r="G36" s="157"/>
      <c r="H36" s="82"/>
      <c r="I36" s="157"/>
      <c r="N36" s="160" t="s">
        <v>376</v>
      </c>
      <c r="O36" s="158"/>
      <c r="P36" s="158"/>
      <c r="Q36" s="158"/>
      <c r="R36" s="158"/>
      <c r="AP36" s="160" t="s">
        <v>415</v>
      </c>
      <c r="AQ36" s="158"/>
      <c r="AR36" s="159"/>
      <c r="AU36" s="1"/>
      <c r="AV36" s="160" t="s">
        <v>416</v>
      </c>
      <c r="AW36" s="160"/>
      <c r="AX36" s="158"/>
      <c r="AY36" s="158"/>
      <c r="AZ36" s="158"/>
      <c r="BA36" s="203"/>
      <c r="BB36" s="203"/>
      <c r="BC36" s="203"/>
      <c r="BD36" s="203"/>
    </row>
    <row r="37" spans="1:145" s="121" customFormat="1" ht="68.45" customHeight="1" x14ac:dyDescent="0.25">
      <c r="A37" s="124"/>
      <c r="B37" s="127" t="s">
        <v>356</v>
      </c>
      <c r="C37" s="129" t="s">
        <v>338</v>
      </c>
      <c r="D37" s="128" t="s">
        <v>358</v>
      </c>
      <c r="F37" s="139" t="s">
        <v>263</v>
      </c>
      <c r="G37" s="140" t="s">
        <v>261</v>
      </c>
      <c r="H37" s="141" t="s">
        <v>264</v>
      </c>
      <c r="I37" s="140" t="s">
        <v>262</v>
      </c>
      <c r="J37" s="268" t="s">
        <v>417</v>
      </c>
      <c r="K37" s="129" t="s">
        <v>411</v>
      </c>
      <c r="L37" s="143" t="s">
        <v>413</v>
      </c>
      <c r="N37" s="127" t="s">
        <v>316</v>
      </c>
      <c r="O37" s="129" t="s">
        <v>339</v>
      </c>
      <c r="P37" s="129" t="s">
        <v>341</v>
      </c>
      <c r="Q37" s="129" t="s">
        <v>340</v>
      </c>
      <c r="R37" s="128" t="s">
        <v>414</v>
      </c>
      <c r="AP37" s="242" t="s">
        <v>315</v>
      </c>
      <c r="AQ37" s="142"/>
      <c r="AR37" s="141"/>
      <c r="AS37" s="129"/>
      <c r="AT37" s="129"/>
      <c r="AU37" s="129"/>
      <c r="AV37" s="129" t="s">
        <v>406</v>
      </c>
      <c r="AW37" s="129" t="s">
        <v>408</v>
      </c>
      <c r="AX37" s="129" t="s">
        <v>407</v>
      </c>
      <c r="AY37" s="129" t="s">
        <v>410</v>
      </c>
      <c r="AZ37" s="129" t="s">
        <v>409</v>
      </c>
      <c r="BA37" s="129" t="s">
        <v>412</v>
      </c>
      <c r="BB37" s="142" t="s">
        <v>315</v>
      </c>
      <c r="BC37" s="142"/>
      <c r="BD37" s="243"/>
      <c r="BF37" s="111"/>
      <c r="BG37" s="111"/>
      <c r="BH37" s="111"/>
      <c r="BI37" s="111"/>
      <c r="BJ37" s="111"/>
      <c r="BK37" s="111"/>
      <c r="BL37" s="111"/>
      <c r="BM37" s="111"/>
      <c r="BN37" s="111"/>
      <c r="BO37" s="111"/>
      <c r="BP37" s="111"/>
      <c r="BQ37" s="111"/>
      <c r="BR37" s="111"/>
      <c r="BS37" s="111"/>
      <c r="BT37" s="111"/>
      <c r="BU37" s="111"/>
      <c r="BV37" s="111"/>
      <c r="BW37" s="111"/>
      <c r="BX37" s="111"/>
      <c r="BY37" s="111"/>
      <c r="BZ37" s="111"/>
      <c r="CA37" s="111"/>
      <c r="CB37" s="111"/>
      <c r="CC37" s="111"/>
      <c r="CD37" s="111"/>
      <c r="CE37" s="111"/>
      <c r="CF37" s="111"/>
      <c r="CG37" s="111"/>
      <c r="CH37" s="111"/>
      <c r="CI37" s="111"/>
      <c r="CJ37" s="111"/>
      <c r="CK37" s="111"/>
      <c r="CL37" s="111"/>
      <c r="CM37" s="111"/>
      <c r="CN37" s="111"/>
      <c r="CO37" s="111"/>
      <c r="CP37" s="111"/>
      <c r="CQ37" s="111"/>
      <c r="CR37" s="111"/>
      <c r="CS37" s="111"/>
      <c r="CT37" s="111"/>
      <c r="CU37" s="111"/>
      <c r="CV37" s="111"/>
      <c r="EL37" s="111"/>
      <c r="EM37" s="111"/>
      <c r="EN37" s="111"/>
      <c r="EO37" s="111"/>
    </row>
    <row r="38" spans="1:145" s="2" customFormat="1" ht="15.75" x14ac:dyDescent="0.25">
      <c r="A38" s="13"/>
      <c r="B38" s="144" t="s">
        <v>255</v>
      </c>
      <c r="C38" s="204" t="e">
        <f>BJ32</f>
        <v>#DIV/0!</v>
      </c>
      <c r="D38" s="144" t="s">
        <v>362</v>
      </c>
      <c r="F38" s="144" t="s">
        <v>265</v>
      </c>
      <c r="G38" s="133">
        <v>7.1563500000000002E-2</v>
      </c>
      <c r="H38" s="208">
        <v>1</v>
      </c>
      <c r="I38" s="182">
        <f t="shared" ref="I38:I44" si="161">H38*AR38</f>
        <v>0.10733183352080991</v>
      </c>
      <c r="J38" s="255">
        <v>7.1563500000000002E-2</v>
      </c>
      <c r="K38" s="182">
        <f>(J38/SUM(J$38:J$44))*40.5%</f>
        <v>7.0620627437746275E-2</v>
      </c>
      <c r="L38" s="145">
        <f t="shared" ref="L38:L44" si="162">BA38*BD38</f>
        <v>0.11115445129335015</v>
      </c>
      <c r="N38" s="231" t="e">
        <f>VLOOKUP(C$6,References!$A$116:$AS$124,27,FALSE)</f>
        <v>#N/A</v>
      </c>
      <c r="O38" s="232" t="e">
        <f>C38/N38</f>
        <v>#DIV/0!</v>
      </c>
      <c r="P38" s="232" t="e">
        <f t="shared" ref="P38:P41" si="163">IF(O38&gt;1,1,IF(O38&lt;0,0,O38))</f>
        <v>#DIV/0!</v>
      </c>
      <c r="Q38" s="201" t="e">
        <f>P38*I38</f>
        <v>#DIV/0!</v>
      </c>
      <c r="R38" s="233" t="e">
        <f>P38*L38</f>
        <v>#DIV/0!</v>
      </c>
      <c r="AP38" s="244">
        <f t="shared" ref="AP38:AP44" si="164">(IF(H38=0,G38,0))</f>
        <v>0</v>
      </c>
      <c r="AQ38" s="123">
        <f t="shared" ref="AQ38:AQ44" si="165">(IF(H38&gt;0,G38,0))</f>
        <v>7.1563500000000002E-2</v>
      </c>
      <c r="AR38" s="123">
        <f t="shared" ref="AR38:AR44" si="166">(G38*H$45)+G38</f>
        <v>0.10733183352080991</v>
      </c>
      <c r="AV38" s="133">
        <f t="shared" ref="AV38:AV44" si="167">IF(ISNUMBER(J38),J38,G38)</f>
        <v>7.1563500000000002E-2</v>
      </c>
      <c r="AW38" s="167">
        <f t="shared" ref="AW38:AW44" si="168">IF(G38=AV38,0,1)</f>
        <v>0</v>
      </c>
      <c r="AX38" s="175">
        <f t="shared" ref="AX38:AX44" si="169">G38-AV38</f>
        <v>0</v>
      </c>
      <c r="AY38" s="123">
        <f t="shared" ref="AY38:AY44" si="170">(IF(AW38=0,AV38,0))</f>
        <v>7.1563500000000002E-2</v>
      </c>
      <c r="AZ38" s="123">
        <f t="shared" ref="AZ38:AZ44" si="171">(AV38*AW$45)+AV38</f>
        <v>6.941856549556627E-2</v>
      </c>
      <c r="BA38" s="2">
        <f t="shared" ref="BA38:BA44" si="172">H38</f>
        <v>1</v>
      </c>
      <c r="BB38" s="123">
        <f t="shared" ref="BB38:BB44" si="173">(IF(BA38=0,K38,0))</f>
        <v>0</v>
      </c>
      <c r="BC38" s="123">
        <f t="shared" ref="BC38:BC44" si="174">(IF(BA38&gt;0,K38,0))</f>
        <v>7.0620627437746275E-2</v>
      </c>
      <c r="BD38" s="245">
        <f t="shared" ref="BD38:BD44" si="175">(K38*BA$45)+K38</f>
        <v>0.11115445129335015</v>
      </c>
      <c r="BF38" s="115"/>
      <c r="BG38" s="115"/>
      <c r="BH38" s="115"/>
      <c r="BI38" s="115"/>
      <c r="BJ38" s="115"/>
      <c r="BK38" s="115"/>
      <c r="BL38" s="115"/>
      <c r="BM38" s="115"/>
      <c r="BN38" s="115"/>
      <c r="BO38" s="115"/>
      <c r="BP38" s="115"/>
      <c r="BQ38" s="115"/>
      <c r="BR38" s="115"/>
      <c r="BS38" s="115"/>
      <c r="BT38" s="115"/>
      <c r="BU38" s="115"/>
      <c r="BV38" s="115"/>
      <c r="BW38" s="115"/>
      <c r="BX38" s="115"/>
      <c r="BY38" s="115"/>
      <c r="BZ38" s="115"/>
      <c r="CA38" s="115"/>
      <c r="CB38" s="115"/>
      <c r="CC38" s="115"/>
      <c r="CD38" s="115"/>
      <c r="CE38" s="115"/>
      <c r="CF38" s="115"/>
      <c r="CG38" s="115"/>
      <c r="CH38" s="115"/>
      <c r="CI38" s="115"/>
      <c r="CJ38" s="115"/>
      <c r="CK38" s="115"/>
      <c r="CL38" s="115"/>
      <c r="CM38" s="115"/>
      <c r="CN38" s="115"/>
      <c r="CO38" s="115"/>
      <c r="CP38" s="115"/>
      <c r="CQ38" s="115"/>
      <c r="CR38" s="115"/>
      <c r="CS38" s="115"/>
      <c r="CT38" s="115"/>
      <c r="CU38" s="115"/>
      <c r="CV38" s="115"/>
      <c r="EL38" s="115"/>
      <c r="EM38" s="115"/>
      <c r="EN38" s="115"/>
      <c r="EO38" s="115"/>
    </row>
    <row r="39" spans="1:145" s="2" customFormat="1" ht="15.75" x14ac:dyDescent="0.25">
      <c r="A39" s="13"/>
      <c r="B39" s="144" t="s">
        <v>259</v>
      </c>
      <c r="C39" s="205" t="e">
        <f>BH32-AZ32</f>
        <v>#DIV/0!</v>
      </c>
      <c r="D39" s="144" t="s">
        <v>359</v>
      </c>
      <c r="F39" s="144" t="s">
        <v>16</v>
      </c>
      <c r="G39" s="133">
        <v>8.3105999999999985E-2</v>
      </c>
      <c r="H39" s="208">
        <v>1</v>
      </c>
      <c r="I39" s="182">
        <f t="shared" si="161"/>
        <v>0.1246434195725534</v>
      </c>
      <c r="J39" s="255">
        <v>0.1</v>
      </c>
      <c r="K39" s="182">
        <f t="shared" ref="K39:K44" si="176">(J39/SUM(J$38:J$44))*40.5%</f>
        <v>9.8682467232243082E-2</v>
      </c>
      <c r="L39" s="145">
        <f t="shared" si="162"/>
        <v>0.15532282699050515</v>
      </c>
      <c r="N39" s="234" t="e">
        <f>VLOOKUP(C$6,References!$A$116:$AS$124,26,FALSE)</f>
        <v>#N/A</v>
      </c>
      <c r="O39" s="232" t="e">
        <f>C39/N39</f>
        <v>#DIV/0!</v>
      </c>
      <c r="P39" s="232" t="e">
        <f t="shared" si="163"/>
        <v>#DIV/0!</v>
      </c>
      <c r="Q39" s="201" t="e">
        <f>P39*I39</f>
        <v>#DIV/0!</v>
      </c>
      <c r="R39" s="233" t="e">
        <f>P39*L39</f>
        <v>#DIV/0!</v>
      </c>
      <c r="AP39" s="244">
        <f t="shared" si="164"/>
        <v>0</v>
      </c>
      <c r="AQ39" s="123">
        <f t="shared" si="165"/>
        <v>8.3105999999999985E-2</v>
      </c>
      <c r="AR39" s="123">
        <f t="shared" si="166"/>
        <v>0.1246434195725534</v>
      </c>
      <c r="AV39" s="133">
        <f t="shared" si="167"/>
        <v>0.1</v>
      </c>
      <c r="AW39" s="167">
        <f t="shared" si="168"/>
        <v>1</v>
      </c>
      <c r="AX39" s="175">
        <f t="shared" si="169"/>
        <v>-1.689400000000002E-2</v>
      </c>
      <c r="AY39" s="123">
        <f t="shared" si="170"/>
        <v>0</v>
      </c>
      <c r="AZ39" s="123">
        <f t="shared" si="171"/>
        <v>9.7002753492445554E-2</v>
      </c>
      <c r="BA39" s="2">
        <f t="shared" si="172"/>
        <v>1</v>
      </c>
      <c r="BB39" s="123">
        <f t="shared" si="173"/>
        <v>0</v>
      </c>
      <c r="BC39" s="123">
        <f t="shared" si="174"/>
        <v>9.8682467232243082E-2</v>
      </c>
      <c r="BD39" s="245">
        <f t="shared" si="175"/>
        <v>0.15532282699050515</v>
      </c>
      <c r="BF39" s="115"/>
      <c r="BG39" s="115"/>
      <c r="BH39" s="115"/>
      <c r="BI39" s="115"/>
      <c r="BJ39" s="115"/>
      <c r="BK39" s="115"/>
      <c r="BL39" s="115"/>
      <c r="BM39" s="115"/>
      <c r="BN39" s="115"/>
      <c r="BO39" s="115"/>
      <c r="BP39" s="115"/>
      <c r="BQ39" s="115"/>
      <c r="BR39" s="115"/>
      <c r="BS39" s="115"/>
      <c r="BT39" s="115"/>
      <c r="BU39" s="115"/>
      <c r="BV39" s="115"/>
      <c r="BW39" s="115"/>
      <c r="BX39" s="115"/>
      <c r="BY39" s="115"/>
      <c r="BZ39" s="115"/>
      <c r="CA39" s="115"/>
      <c r="CB39" s="115"/>
      <c r="CC39" s="115"/>
      <c r="CD39" s="115"/>
      <c r="CE39" s="115"/>
      <c r="CF39" s="115"/>
      <c r="CG39" s="115"/>
      <c r="CH39" s="115"/>
      <c r="CI39" s="115"/>
      <c r="CJ39" s="115"/>
      <c r="CK39" s="115"/>
      <c r="CL39" s="115"/>
      <c r="CM39" s="115"/>
      <c r="CN39" s="115"/>
      <c r="CO39" s="115"/>
      <c r="CP39" s="115"/>
      <c r="CQ39" s="115"/>
      <c r="CR39" s="115"/>
      <c r="CS39" s="115"/>
      <c r="CT39" s="115"/>
      <c r="CU39" s="115"/>
      <c r="CV39" s="115"/>
      <c r="EL39" s="115"/>
      <c r="EM39" s="115"/>
      <c r="EN39" s="115"/>
      <c r="EO39" s="115"/>
    </row>
    <row r="40" spans="1:145" s="2" customFormat="1" ht="15.75" x14ac:dyDescent="0.25">
      <c r="A40" s="13"/>
      <c r="B40" s="144" t="s">
        <v>335</v>
      </c>
      <c r="C40" s="205" t="e">
        <f>AY32</f>
        <v>#DIV/0!</v>
      </c>
      <c r="D40" s="144" t="s">
        <v>359</v>
      </c>
      <c r="F40" s="144" t="s">
        <v>266</v>
      </c>
      <c r="G40" s="133">
        <v>7.6180499999999998E-2</v>
      </c>
      <c r="H40" s="208">
        <v>1</v>
      </c>
      <c r="I40" s="182">
        <f t="shared" si="161"/>
        <v>0.11425646794150732</v>
      </c>
      <c r="J40" s="255">
        <v>0.05</v>
      </c>
      <c r="K40" s="182">
        <f t="shared" si="176"/>
        <v>4.9341233616121541E-2</v>
      </c>
      <c r="L40" s="145">
        <f t="shared" si="162"/>
        <v>7.7661413495252574E-2</v>
      </c>
      <c r="N40" s="234" t="e">
        <f>VLOOKUP(C$6,References!$A$116:$AS$124,23,FALSE)</f>
        <v>#N/A</v>
      </c>
      <c r="O40" s="232" t="e">
        <f>(N40-C40)/N40</f>
        <v>#N/A</v>
      </c>
      <c r="P40" s="232" t="e">
        <f t="shared" si="163"/>
        <v>#N/A</v>
      </c>
      <c r="Q40" s="201" t="e">
        <f>P40*I40</f>
        <v>#N/A</v>
      </c>
      <c r="R40" s="233" t="e">
        <f>P40*L40</f>
        <v>#N/A</v>
      </c>
      <c r="AP40" s="244">
        <f t="shared" si="164"/>
        <v>0</v>
      </c>
      <c r="AQ40" s="123">
        <f t="shared" si="165"/>
        <v>7.6180499999999998E-2</v>
      </c>
      <c r="AR40" s="123">
        <f t="shared" si="166"/>
        <v>0.11425646794150732</v>
      </c>
      <c r="AV40" s="133">
        <f t="shared" si="167"/>
        <v>0.05</v>
      </c>
      <c r="AW40" s="167">
        <f t="shared" si="168"/>
        <v>1</v>
      </c>
      <c r="AX40" s="175">
        <f t="shared" si="169"/>
        <v>2.6180499999999995E-2</v>
      </c>
      <c r="AY40" s="123">
        <f t="shared" si="170"/>
        <v>0</v>
      </c>
      <c r="AZ40" s="123">
        <f t="shared" si="171"/>
        <v>4.8501376746222777E-2</v>
      </c>
      <c r="BA40" s="2">
        <f t="shared" si="172"/>
        <v>1</v>
      </c>
      <c r="BB40" s="123">
        <f t="shared" si="173"/>
        <v>0</v>
      </c>
      <c r="BC40" s="123">
        <f t="shared" si="174"/>
        <v>4.9341233616121541E-2</v>
      </c>
      <c r="BD40" s="245">
        <f t="shared" si="175"/>
        <v>7.7661413495252574E-2</v>
      </c>
      <c r="BF40" s="115"/>
      <c r="BG40" s="115"/>
      <c r="BH40" s="115"/>
      <c r="BI40" s="115"/>
      <c r="BJ40" s="115"/>
      <c r="BK40" s="115"/>
      <c r="BL40" s="115"/>
      <c r="BM40" s="115"/>
      <c r="BN40" s="115"/>
      <c r="BO40" s="115"/>
      <c r="BP40" s="115"/>
      <c r="BQ40" s="115"/>
      <c r="BR40" s="115"/>
      <c r="BS40" s="115"/>
      <c r="BT40" s="115"/>
      <c r="BU40" s="115"/>
      <c r="BV40" s="115"/>
      <c r="BW40" s="115"/>
      <c r="BX40" s="115"/>
      <c r="BY40" s="115"/>
      <c r="BZ40" s="115"/>
      <c r="CA40" s="115"/>
      <c r="CB40" s="115"/>
      <c r="CC40" s="115"/>
      <c r="CD40" s="115"/>
      <c r="CE40" s="115"/>
      <c r="CF40" s="115"/>
      <c r="CG40" s="115"/>
      <c r="CH40" s="115"/>
      <c r="CI40" s="115"/>
      <c r="CJ40" s="115"/>
      <c r="CK40" s="115"/>
      <c r="CL40" s="115"/>
      <c r="CM40" s="115"/>
      <c r="CN40" s="115"/>
      <c r="CO40" s="115"/>
      <c r="CP40" s="115"/>
      <c r="CQ40" s="115"/>
      <c r="CR40" s="115"/>
      <c r="CS40" s="115"/>
      <c r="CT40" s="115"/>
      <c r="CU40" s="115"/>
      <c r="CV40" s="115"/>
      <c r="EL40" s="115"/>
      <c r="EM40" s="115"/>
      <c r="EN40" s="115"/>
      <c r="EO40" s="115"/>
    </row>
    <row r="41" spans="1:145" s="2" customFormat="1" ht="30" x14ac:dyDescent="0.25">
      <c r="A41" s="13"/>
      <c r="B41" s="144" t="s">
        <v>337</v>
      </c>
      <c r="C41" s="204" t="e">
        <f>(CJ32+CK32+CL32)/3</f>
        <v>#N/A</v>
      </c>
      <c r="D41" s="144" t="s">
        <v>362</v>
      </c>
      <c r="F41" s="144" t="s">
        <v>267</v>
      </c>
      <c r="G41" s="133">
        <v>3.9183750000000003E-2</v>
      </c>
      <c r="H41" s="208">
        <v>1</v>
      </c>
      <c r="I41" s="182">
        <f t="shared" si="161"/>
        <v>5.8768278965129359E-2</v>
      </c>
      <c r="J41" s="255">
        <v>3.9183750000000003E-2</v>
      </c>
      <c r="K41" s="182">
        <f t="shared" si="176"/>
        <v>3.8667491254114048E-2</v>
      </c>
      <c r="L41" s="145">
        <f t="shared" si="162"/>
        <v>6.0861308220892057E-2</v>
      </c>
      <c r="N41" s="231">
        <v>1</v>
      </c>
      <c r="O41" s="232" t="e">
        <f>C41/N41</f>
        <v>#N/A</v>
      </c>
      <c r="P41" s="232" t="e">
        <f t="shared" si="163"/>
        <v>#N/A</v>
      </c>
      <c r="Q41" s="201" t="e">
        <f>P41*I41</f>
        <v>#N/A</v>
      </c>
      <c r="R41" s="233" t="e">
        <f>P41*L41</f>
        <v>#N/A</v>
      </c>
      <c r="AP41" s="244">
        <f t="shared" si="164"/>
        <v>0</v>
      </c>
      <c r="AQ41" s="123">
        <f t="shared" si="165"/>
        <v>3.9183750000000003E-2</v>
      </c>
      <c r="AR41" s="123">
        <f t="shared" si="166"/>
        <v>5.8768278965129359E-2</v>
      </c>
      <c r="AV41" s="133">
        <f t="shared" si="167"/>
        <v>3.9183750000000003E-2</v>
      </c>
      <c r="AW41" s="167">
        <f t="shared" si="168"/>
        <v>0</v>
      </c>
      <c r="AX41" s="175">
        <f t="shared" si="169"/>
        <v>0</v>
      </c>
      <c r="AY41" s="123">
        <f t="shared" si="170"/>
        <v>3.9183750000000003E-2</v>
      </c>
      <c r="AZ41" s="123">
        <f t="shared" si="171"/>
        <v>3.8009316421596141E-2</v>
      </c>
      <c r="BA41" s="2">
        <f t="shared" si="172"/>
        <v>1</v>
      </c>
      <c r="BB41" s="123">
        <f t="shared" si="173"/>
        <v>0</v>
      </c>
      <c r="BC41" s="123">
        <f t="shared" si="174"/>
        <v>3.8667491254114048E-2</v>
      </c>
      <c r="BD41" s="245">
        <f t="shared" si="175"/>
        <v>6.0861308220892057E-2</v>
      </c>
      <c r="BF41" s="115"/>
      <c r="BG41" s="115"/>
      <c r="BH41" s="115"/>
      <c r="BI41" s="115"/>
      <c r="BJ41" s="115"/>
      <c r="BK41" s="115"/>
      <c r="BL41" s="115"/>
      <c r="BM41" s="115"/>
      <c r="BN41" s="115"/>
      <c r="BO41" s="115"/>
      <c r="BP41" s="115"/>
      <c r="BQ41" s="115"/>
      <c r="BR41" s="115"/>
      <c r="BS41" s="115"/>
      <c r="BT41" s="115"/>
      <c r="BU41" s="115"/>
      <c r="BV41" s="115"/>
      <c r="BW41" s="115"/>
      <c r="BX41" s="115"/>
      <c r="BY41" s="115"/>
      <c r="BZ41" s="115"/>
      <c r="CA41" s="115"/>
      <c r="CB41" s="115"/>
      <c r="CC41" s="115"/>
      <c r="CD41" s="115"/>
      <c r="CE41" s="115"/>
      <c r="CF41" s="115"/>
      <c r="CG41" s="115"/>
      <c r="CH41" s="115"/>
      <c r="CI41" s="115"/>
      <c r="CJ41" s="115"/>
      <c r="CK41" s="115"/>
      <c r="CL41" s="115"/>
      <c r="CM41" s="115"/>
      <c r="CN41" s="115"/>
      <c r="CO41" s="115"/>
      <c r="CP41" s="115"/>
      <c r="CQ41" s="115"/>
      <c r="CR41" s="115"/>
      <c r="CS41" s="115"/>
      <c r="CT41" s="115"/>
      <c r="CU41" s="115"/>
      <c r="CV41" s="115"/>
      <c r="EL41" s="115"/>
      <c r="EM41" s="115"/>
      <c r="EN41" s="115"/>
      <c r="EO41" s="115"/>
    </row>
    <row r="42" spans="1:145" s="2" customFormat="1" ht="15.75" x14ac:dyDescent="0.25">
      <c r="A42" s="13"/>
      <c r="B42" s="144"/>
      <c r="C42" s="206"/>
      <c r="D42" s="144"/>
      <c r="F42" s="144" t="s">
        <v>269</v>
      </c>
      <c r="G42" s="133">
        <v>6.530625000000001E-2</v>
      </c>
      <c r="H42" s="208"/>
      <c r="I42" s="182">
        <f t="shared" si="161"/>
        <v>0</v>
      </c>
      <c r="J42" s="255">
        <v>0.08</v>
      </c>
      <c r="K42" s="182">
        <f t="shared" si="176"/>
        <v>7.894597378579446E-2</v>
      </c>
      <c r="L42" s="145">
        <f t="shared" si="162"/>
        <v>0</v>
      </c>
      <c r="N42" s="231"/>
      <c r="O42" s="202"/>
      <c r="P42" s="202"/>
      <c r="Q42" s="201"/>
      <c r="R42" s="233"/>
      <c r="AP42" s="244">
        <f t="shared" si="164"/>
        <v>6.530625000000001E-2</v>
      </c>
      <c r="AQ42" s="123">
        <f t="shared" si="165"/>
        <v>0</v>
      </c>
      <c r="AR42" s="123">
        <f t="shared" si="166"/>
        <v>9.7947131608548954E-2</v>
      </c>
      <c r="AV42" s="133">
        <f t="shared" si="167"/>
        <v>0.08</v>
      </c>
      <c r="AW42" s="167">
        <f t="shared" si="168"/>
        <v>1</v>
      </c>
      <c r="AX42" s="175">
        <f t="shared" si="169"/>
        <v>-1.4693749999999992E-2</v>
      </c>
      <c r="AY42" s="123">
        <f t="shared" si="170"/>
        <v>0</v>
      </c>
      <c r="AZ42" s="123">
        <f t="shared" si="171"/>
        <v>7.7602202793956451E-2</v>
      </c>
      <c r="BA42" s="2">
        <f t="shared" si="172"/>
        <v>0</v>
      </c>
      <c r="BB42" s="123">
        <f t="shared" si="173"/>
        <v>7.894597378579446E-2</v>
      </c>
      <c r="BC42" s="123">
        <f t="shared" si="174"/>
        <v>0</v>
      </c>
      <c r="BD42" s="245">
        <f t="shared" si="175"/>
        <v>0.12425826159240411</v>
      </c>
      <c r="BF42" s="115"/>
      <c r="BG42" s="115"/>
      <c r="BH42" s="115"/>
      <c r="BI42" s="115"/>
      <c r="BJ42" s="115"/>
      <c r="BK42" s="115"/>
      <c r="BL42" s="115"/>
      <c r="BM42" s="115"/>
      <c r="BN42" s="115"/>
      <c r="BO42" s="115"/>
      <c r="BP42" s="115"/>
      <c r="BQ42" s="115"/>
      <c r="BR42" s="115"/>
      <c r="BS42" s="115"/>
      <c r="BT42" s="115"/>
      <c r="BU42" s="115"/>
      <c r="BV42" s="115"/>
      <c r="BW42" s="115"/>
      <c r="BX42" s="115"/>
      <c r="BY42" s="115"/>
      <c r="BZ42" s="115"/>
      <c r="CA42" s="115"/>
      <c r="CB42" s="115"/>
      <c r="CC42" s="115"/>
      <c r="CD42" s="115"/>
      <c r="CE42" s="115"/>
      <c r="CF42" s="115"/>
      <c r="CG42" s="115"/>
      <c r="CH42" s="115"/>
      <c r="CI42" s="115"/>
      <c r="CJ42" s="115"/>
      <c r="CK42" s="115"/>
      <c r="CL42" s="115"/>
      <c r="CM42" s="115"/>
      <c r="CN42" s="115"/>
      <c r="CO42" s="115"/>
      <c r="CP42" s="115"/>
      <c r="CQ42" s="115"/>
      <c r="CR42" s="115"/>
      <c r="CS42" s="115"/>
      <c r="CT42" s="115"/>
      <c r="CU42" s="115"/>
      <c r="CV42" s="115"/>
      <c r="EL42" s="115"/>
      <c r="EM42" s="115"/>
      <c r="EN42" s="115"/>
      <c r="EO42" s="115"/>
    </row>
    <row r="43" spans="1:145" s="2" customFormat="1" ht="15.75" x14ac:dyDescent="0.25">
      <c r="A43" s="13"/>
      <c r="B43" s="144"/>
      <c r="C43" s="206"/>
      <c r="D43" s="144"/>
      <c r="F43" s="144" t="s">
        <v>270</v>
      </c>
      <c r="G43" s="133">
        <v>3.4830000000000007E-2</v>
      </c>
      <c r="H43" s="208"/>
      <c r="I43" s="182">
        <f t="shared" si="161"/>
        <v>0</v>
      </c>
      <c r="J43" s="255">
        <v>3.4830000000000007E-2</v>
      </c>
      <c r="K43" s="182">
        <f t="shared" si="176"/>
        <v>3.4371103336990269E-2</v>
      </c>
      <c r="L43" s="145">
        <f t="shared" si="162"/>
        <v>0</v>
      </c>
      <c r="N43" s="231"/>
      <c r="O43" s="202"/>
      <c r="P43" s="202"/>
      <c r="Q43" s="201"/>
      <c r="R43" s="233"/>
      <c r="AP43" s="244">
        <f t="shared" si="164"/>
        <v>3.4830000000000007E-2</v>
      </c>
      <c r="AQ43" s="123">
        <f t="shared" si="165"/>
        <v>0</v>
      </c>
      <c r="AR43" s="123">
        <f t="shared" si="166"/>
        <v>5.2238470191226107E-2</v>
      </c>
      <c r="AV43" s="133">
        <f t="shared" si="167"/>
        <v>3.4830000000000007E-2</v>
      </c>
      <c r="AW43" s="167">
        <f t="shared" si="168"/>
        <v>0</v>
      </c>
      <c r="AX43" s="175">
        <f t="shared" si="169"/>
        <v>0</v>
      </c>
      <c r="AY43" s="123">
        <f t="shared" si="170"/>
        <v>3.4830000000000007E-2</v>
      </c>
      <c r="AZ43" s="123">
        <f t="shared" si="171"/>
        <v>3.3786059041418792E-2</v>
      </c>
      <c r="BA43" s="2">
        <f t="shared" si="172"/>
        <v>0</v>
      </c>
      <c r="BB43" s="123">
        <f t="shared" si="173"/>
        <v>3.4371103336990269E-2</v>
      </c>
      <c r="BC43" s="123">
        <f t="shared" si="174"/>
        <v>0</v>
      </c>
      <c r="BD43" s="245">
        <f t="shared" si="175"/>
        <v>5.4098940640792952E-2</v>
      </c>
      <c r="BF43" s="115"/>
      <c r="BG43" s="115"/>
      <c r="BH43" s="115"/>
      <c r="BI43" s="115"/>
      <c r="BJ43" s="115"/>
      <c r="BK43" s="115"/>
      <c r="BL43" s="115"/>
      <c r="BM43" s="115"/>
      <c r="BN43" s="115"/>
      <c r="BO43" s="115"/>
      <c r="BP43" s="115"/>
      <c r="BQ43" s="115"/>
      <c r="BR43" s="115"/>
      <c r="BS43" s="115"/>
      <c r="BT43" s="115"/>
      <c r="BU43" s="115"/>
      <c r="BV43" s="115"/>
      <c r="BW43" s="115"/>
      <c r="BX43" s="115"/>
      <c r="BY43" s="115"/>
      <c r="BZ43" s="115"/>
      <c r="CA43" s="115"/>
      <c r="CB43" s="115"/>
      <c r="CC43" s="115"/>
      <c r="CD43" s="115"/>
      <c r="CE43" s="115"/>
      <c r="CF43" s="115"/>
      <c r="CG43" s="115"/>
      <c r="CH43" s="115"/>
      <c r="CI43" s="115"/>
      <c r="CJ43" s="115"/>
      <c r="CK43" s="115"/>
      <c r="CL43" s="115"/>
      <c r="CM43" s="115"/>
      <c r="CN43" s="115"/>
      <c r="CO43" s="115"/>
      <c r="CP43" s="115"/>
      <c r="CQ43" s="115"/>
      <c r="CR43" s="115"/>
      <c r="CS43" s="115"/>
      <c r="CT43" s="115"/>
      <c r="CU43" s="115"/>
      <c r="CV43" s="115"/>
      <c r="EL43" s="115"/>
      <c r="EM43" s="115"/>
      <c r="EN43" s="115"/>
      <c r="EO43" s="115"/>
    </row>
    <row r="44" spans="1:145" s="2" customFormat="1" ht="30" x14ac:dyDescent="0.25">
      <c r="A44" s="13"/>
      <c r="B44" s="144"/>
      <c r="C44" s="206"/>
      <c r="D44" s="144"/>
      <c r="F44" s="144" t="s">
        <v>271</v>
      </c>
      <c r="G44" s="133">
        <v>3.4830000000000007E-2</v>
      </c>
      <c r="H44" s="208"/>
      <c r="I44" s="182">
        <f t="shared" si="161"/>
        <v>0</v>
      </c>
      <c r="J44" s="255">
        <v>3.4830000000000007E-2</v>
      </c>
      <c r="K44" s="182">
        <f t="shared" si="176"/>
        <v>3.4371103336990269E-2</v>
      </c>
      <c r="L44" s="145">
        <f t="shared" si="162"/>
        <v>0</v>
      </c>
      <c r="N44" s="231"/>
      <c r="O44" s="202"/>
      <c r="P44" s="202"/>
      <c r="Q44" s="201"/>
      <c r="R44" s="233"/>
      <c r="AP44" s="244">
        <f t="shared" si="164"/>
        <v>3.4830000000000007E-2</v>
      </c>
      <c r="AQ44" s="123">
        <f t="shared" si="165"/>
        <v>0</v>
      </c>
      <c r="AR44" s="123">
        <f t="shared" si="166"/>
        <v>5.2238470191226107E-2</v>
      </c>
      <c r="AV44" s="133">
        <f t="shared" si="167"/>
        <v>3.4830000000000007E-2</v>
      </c>
      <c r="AW44" s="167">
        <f t="shared" si="168"/>
        <v>0</v>
      </c>
      <c r="AX44" s="175">
        <f t="shared" si="169"/>
        <v>0</v>
      </c>
      <c r="AY44" s="123">
        <f t="shared" si="170"/>
        <v>3.4830000000000007E-2</v>
      </c>
      <c r="AZ44" s="123">
        <f t="shared" si="171"/>
        <v>3.3786059041418792E-2</v>
      </c>
      <c r="BA44" s="2">
        <f t="shared" si="172"/>
        <v>0</v>
      </c>
      <c r="BB44" s="123">
        <f t="shared" si="173"/>
        <v>3.4371103336990269E-2</v>
      </c>
      <c r="BC44" s="123">
        <f t="shared" si="174"/>
        <v>0</v>
      </c>
      <c r="BD44" s="245">
        <f t="shared" si="175"/>
        <v>5.4098940640792952E-2</v>
      </c>
      <c r="BF44" s="115"/>
      <c r="BG44" s="115"/>
      <c r="BH44" s="115"/>
      <c r="BI44" s="115"/>
      <c r="BJ44" s="115"/>
      <c r="BK44" s="115"/>
      <c r="BL44" s="115"/>
      <c r="BM44" s="115"/>
      <c r="BN44" s="115"/>
      <c r="BO44" s="115"/>
      <c r="BP44" s="115"/>
      <c r="BQ44" s="115"/>
      <c r="BR44" s="115"/>
      <c r="BS44" s="115"/>
      <c r="BT44" s="115"/>
      <c r="BU44" s="115"/>
      <c r="BV44" s="115"/>
      <c r="BW44" s="115"/>
      <c r="BX44" s="115"/>
      <c r="BY44" s="115"/>
      <c r="BZ44" s="115"/>
      <c r="CA44" s="115"/>
      <c r="CB44" s="115"/>
      <c r="CC44" s="115"/>
      <c r="CD44" s="115"/>
      <c r="CE44" s="115"/>
      <c r="CF44" s="115"/>
      <c r="CG44" s="115"/>
      <c r="CH44" s="115"/>
      <c r="CI44" s="115"/>
      <c r="CJ44" s="115"/>
      <c r="CK44" s="115"/>
      <c r="CL44" s="115"/>
      <c r="CM44" s="115"/>
      <c r="CN44" s="115"/>
      <c r="CO44" s="115"/>
      <c r="CP44" s="115"/>
      <c r="CQ44" s="115"/>
      <c r="CR44" s="115"/>
      <c r="CS44" s="115"/>
      <c r="CT44" s="115"/>
      <c r="CU44" s="115"/>
      <c r="CV44" s="115"/>
      <c r="EL44" s="115"/>
      <c r="EM44" s="115"/>
      <c r="EN44" s="115"/>
      <c r="EO44" s="115"/>
    </row>
    <row r="45" spans="1:145" s="121" customFormat="1" ht="15.75" x14ac:dyDescent="0.25">
      <c r="A45" s="124"/>
      <c r="B45" s="180"/>
      <c r="C45" s="206"/>
      <c r="D45" s="180"/>
      <c r="F45" s="180" t="s">
        <v>314</v>
      </c>
      <c r="G45" s="183">
        <f>SUM(G38:G44)</f>
        <v>0.40500000000000008</v>
      </c>
      <c r="H45" s="137">
        <f>AP45/AQ45</f>
        <v>0.49981252343457067</v>
      </c>
      <c r="I45" s="183">
        <f>SUM(I38:I44)</f>
        <v>0.40500000000000003</v>
      </c>
      <c r="J45" s="178"/>
      <c r="K45" s="183">
        <f>SUM(K38:K44)</f>
        <v>0.40500000000000003</v>
      </c>
      <c r="L45" s="146">
        <f>SUM(L38:L44)</f>
        <v>0.40499999999999992</v>
      </c>
      <c r="N45" s="239"/>
      <c r="O45" s="218" t="s">
        <v>355</v>
      </c>
      <c r="P45" s="219"/>
      <c r="Q45" s="220" t="e">
        <f>SUM(Q38:Q44)</f>
        <v>#DIV/0!</v>
      </c>
      <c r="R45" s="221" t="e">
        <f>SUM(R38:R44)</f>
        <v>#DIV/0!</v>
      </c>
      <c r="AP45" s="180">
        <f>SUM(AP38:AP44)</f>
        <v>0.13496625000000001</v>
      </c>
      <c r="AQ45" s="137">
        <f>SUM(AQ38:AQ44)</f>
        <v>0.27003375000000002</v>
      </c>
      <c r="AR45" s="138"/>
      <c r="AV45" s="137"/>
      <c r="AW45" s="178">
        <f>(AX45/AY45)</f>
        <v>-2.9972465075544446E-2</v>
      </c>
      <c r="AX45" s="183">
        <f>SUM(AX38:AX44)</f>
        <v>-5.4072500000000162E-3</v>
      </c>
      <c r="AY45" s="173">
        <f>SUM(AY38:AY44)</f>
        <v>0.18040725000000002</v>
      </c>
      <c r="AZ45" s="138"/>
      <c r="BA45" s="137">
        <f>BB45/BC45</f>
        <v>0.57396578487404948</v>
      </c>
      <c r="BB45" s="137">
        <f>SUM(BB38:BB44)</f>
        <v>0.147688180459775</v>
      </c>
      <c r="BC45" s="137">
        <f>SUM(BC38:BC44)</f>
        <v>0.25731181954022497</v>
      </c>
      <c r="BD45" s="246"/>
      <c r="BF45" s="111"/>
      <c r="BG45" s="111"/>
      <c r="BH45" s="111"/>
      <c r="BI45" s="111"/>
      <c r="BJ45" s="111"/>
      <c r="BK45" s="111"/>
      <c r="BL45" s="111"/>
      <c r="BM45" s="111"/>
      <c r="BN45" s="111"/>
      <c r="BO45" s="111"/>
      <c r="BP45" s="111"/>
      <c r="BQ45" s="111"/>
      <c r="BR45" s="111"/>
      <c r="BS45" s="111"/>
      <c r="BT45" s="111"/>
      <c r="BU45" s="111"/>
      <c r="BV45" s="111"/>
      <c r="BW45" s="111"/>
      <c r="BX45" s="111"/>
      <c r="BY45" s="111"/>
      <c r="BZ45" s="111"/>
      <c r="CA45" s="111"/>
      <c r="CB45" s="111"/>
      <c r="CC45" s="111"/>
      <c r="CD45" s="111"/>
      <c r="CE45" s="111"/>
      <c r="CF45" s="111"/>
      <c r="CG45" s="111"/>
      <c r="CH45" s="111"/>
      <c r="CI45" s="111"/>
      <c r="CJ45" s="111"/>
      <c r="CK45" s="111"/>
      <c r="CL45" s="111"/>
      <c r="CM45" s="111"/>
      <c r="CN45" s="111"/>
      <c r="CO45" s="111"/>
      <c r="CP45" s="111"/>
      <c r="CQ45" s="111"/>
      <c r="CR45" s="111"/>
      <c r="CS45" s="111"/>
      <c r="CT45" s="111"/>
      <c r="CU45" s="111"/>
      <c r="CV45" s="111"/>
      <c r="EL45" s="111"/>
      <c r="EM45" s="111"/>
      <c r="EN45" s="111"/>
      <c r="EO45" s="111"/>
    </row>
    <row r="46" spans="1:145" s="2" customFormat="1" ht="15.75" x14ac:dyDescent="0.25">
      <c r="A46" s="13"/>
      <c r="B46" s="147"/>
      <c r="C46" s="206"/>
      <c r="D46" s="147"/>
      <c r="F46" s="147" t="s">
        <v>272</v>
      </c>
      <c r="G46" s="136">
        <v>2.6162999999999995E-2</v>
      </c>
      <c r="H46" s="209"/>
      <c r="I46" s="184">
        <f t="shared" ref="I46:I57" si="177">H46*AR46</f>
        <v>0</v>
      </c>
      <c r="J46" s="255">
        <v>2.6162999999999995E-2</v>
      </c>
      <c r="K46" s="184">
        <f>(J46/SUM(J$46:J$57)*28.5%)</f>
        <v>1.9697853471812202E-2</v>
      </c>
      <c r="L46" s="148">
        <f t="shared" ref="L46:L57" si="178">BA46*BD46</f>
        <v>0</v>
      </c>
      <c r="N46" s="147"/>
      <c r="O46" s="225"/>
      <c r="P46" s="225"/>
      <c r="Q46" s="226"/>
      <c r="R46" s="227"/>
      <c r="AP46" s="247">
        <f t="shared" ref="AP46:AP57" si="179">(IF(H46=0,G46,0))</f>
        <v>2.6162999999999995E-2</v>
      </c>
      <c r="AQ46" s="125">
        <f t="shared" ref="AQ46:AQ57" si="180">(IF(H46&gt;0,G46,0))</f>
        <v>0</v>
      </c>
      <c r="AR46" s="125">
        <f t="shared" ref="AR46:AR57" si="181">(G46*H$58)+G46</f>
        <v>4.8102592388306664E-2</v>
      </c>
      <c r="AV46" s="136">
        <f t="shared" ref="AV46:AV57" si="182">IF(ISNUMBER(J46),J46,G46)</f>
        <v>2.6162999999999995E-2</v>
      </c>
      <c r="AW46" s="168">
        <f t="shared" ref="AW46:AW57" si="183">IF(G46=AV46,0,1)</f>
        <v>0</v>
      </c>
      <c r="AX46" s="176">
        <f t="shared" ref="AX46:AX57" si="184">G46-AV46</f>
        <v>0</v>
      </c>
      <c r="AY46" s="125">
        <f t="shared" ref="AY46:AY57" si="185">(IF(AW46=0,AV46,0))</f>
        <v>2.6162999999999995E-2</v>
      </c>
      <c r="AZ46" s="125">
        <f t="shared" ref="AZ46:AZ57" si="186">(AV46*AW$58)+AV46</f>
        <v>1.5454545454545448E-2</v>
      </c>
      <c r="BA46" s="2">
        <f t="shared" ref="BA46:BA57" si="187">H46</f>
        <v>0</v>
      </c>
      <c r="BB46" s="125">
        <f t="shared" ref="BB46:BB57" si="188">(IF(BA46=0,K46,0))</f>
        <v>1.9697853471812202E-2</v>
      </c>
      <c r="BC46" s="125">
        <f t="shared" ref="BC46:BC57" si="189">(IF(BA46&gt;0,K46,0))</f>
        <v>0</v>
      </c>
      <c r="BD46" s="248">
        <f t="shared" ref="BD46:BD57" si="190">(K46*BA$58)+K46</f>
        <v>3.4466850330733989E-2</v>
      </c>
      <c r="BF46" s="115"/>
      <c r="BG46" s="115"/>
      <c r="BH46" s="115"/>
      <c r="BI46" s="115"/>
      <c r="BJ46" s="115"/>
      <c r="BK46" s="115"/>
      <c r="BL46" s="115"/>
      <c r="BM46" s="115"/>
      <c r="BN46" s="115"/>
      <c r="BO46" s="115"/>
      <c r="BP46" s="115"/>
      <c r="BQ46" s="115"/>
      <c r="BR46" s="115"/>
      <c r="BS46" s="115"/>
      <c r="BT46" s="115"/>
      <c r="BU46" s="115"/>
      <c r="BV46" s="115"/>
      <c r="BW46" s="115"/>
      <c r="BX46" s="115"/>
      <c r="BY46" s="115"/>
      <c r="BZ46" s="115"/>
      <c r="CA46" s="115"/>
      <c r="CB46" s="115"/>
      <c r="CC46" s="115"/>
      <c r="CD46" s="115"/>
      <c r="CE46" s="115"/>
      <c r="CF46" s="115"/>
      <c r="CG46" s="115"/>
      <c r="CH46" s="115"/>
      <c r="CI46" s="115"/>
      <c r="CJ46" s="115"/>
      <c r="CK46" s="115"/>
      <c r="CL46" s="115"/>
      <c r="CM46" s="115"/>
      <c r="CN46" s="115"/>
      <c r="CO46" s="115"/>
      <c r="CP46" s="115"/>
      <c r="CQ46" s="115"/>
      <c r="CR46" s="115"/>
      <c r="CS46" s="115"/>
      <c r="CT46" s="115"/>
      <c r="CU46" s="115"/>
      <c r="CV46" s="115"/>
      <c r="EL46" s="115"/>
      <c r="EM46" s="115"/>
      <c r="EN46" s="115"/>
      <c r="EO46" s="115"/>
    </row>
    <row r="47" spans="1:145" s="2" customFormat="1" ht="15.75" x14ac:dyDescent="0.25">
      <c r="A47" s="13"/>
      <c r="B47" s="147"/>
      <c r="C47" s="206"/>
      <c r="D47" s="147"/>
      <c r="F47" s="147" t="s">
        <v>273</v>
      </c>
      <c r="G47" s="136">
        <v>2.4709500000000002E-2</v>
      </c>
      <c r="H47" s="209"/>
      <c r="I47" s="184">
        <f t="shared" si="177"/>
        <v>0</v>
      </c>
      <c r="J47" s="255">
        <v>2.4709500000000002E-2</v>
      </c>
      <c r="K47" s="184">
        <f t="shared" ref="K47:K57" si="191">(J47/SUM(J$46:J$57)*28.5%)</f>
        <v>1.8603528278933752E-2</v>
      </c>
      <c r="L47" s="148">
        <f t="shared" si="178"/>
        <v>0</v>
      </c>
      <c r="N47" s="228"/>
      <c r="O47" s="225"/>
      <c r="P47" s="225"/>
      <c r="Q47" s="226"/>
      <c r="R47" s="227"/>
      <c r="AP47" s="247">
        <f t="shared" si="179"/>
        <v>2.4709500000000002E-2</v>
      </c>
      <c r="AQ47" s="125">
        <f t="shared" si="180"/>
        <v>0</v>
      </c>
      <c r="AR47" s="125">
        <f t="shared" si="181"/>
        <v>4.5430226144511865E-2</v>
      </c>
      <c r="AV47" s="136">
        <f t="shared" si="182"/>
        <v>2.4709500000000002E-2</v>
      </c>
      <c r="AW47" s="168">
        <f t="shared" si="183"/>
        <v>0</v>
      </c>
      <c r="AX47" s="176">
        <f t="shared" si="184"/>
        <v>0</v>
      </c>
      <c r="AY47" s="125">
        <f t="shared" si="185"/>
        <v>2.4709500000000002E-2</v>
      </c>
      <c r="AZ47" s="125">
        <f t="shared" si="186"/>
        <v>1.4595959595959595E-2</v>
      </c>
      <c r="BA47" s="2">
        <f t="shared" si="187"/>
        <v>0</v>
      </c>
      <c r="BB47" s="125">
        <f t="shared" si="188"/>
        <v>1.8603528278933752E-2</v>
      </c>
      <c r="BC47" s="125">
        <f t="shared" si="189"/>
        <v>0</v>
      </c>
      <c r="BD47" s="248">
        <f t="shared" si="190"/>
        <v>3.2552025312359886E-2</v>
      </c>
      <c r="BF47" s="115"/>
      <c r="BG47" s="115"/>
      <c r="BH47" s="115"/>
      <c r="BI47" s="115"/>
      <c r="BJ47" s="115"/>
      <c r="BK47" s="115"/>
      <c r="BL47" s="115"/>
      <c r="BM47" s="115"/>
      <c r="BN47" s="115"/>
      <c r="BO47" s="115"/>
      <c r="BP47" s="115"/>
      <c r="BQ47" s="115"/>
      <c r="BR47" s="115"/>
      <c r="BS47" s="115"/>
      <c r="BT47" s="115"/>
      <c r="BU47" s="115"/>
      <c r="BV47" s="115"/>
      <c r="BW47" s="115"/>
      <c r="BX47" s="115"/>
      <c r="BY47" s="115"/>
      <c r="BZ47" s="115"/>
      <c r="CA47" s="115"/>
      <c r="CB47" s="115"/>
      <c r="CC47" s="115"/>
      <c r="CD47" s="115"/>
      <c r="CE47" s="115"/>
      <c r="CF47" s="115"/>
      <c r="CG47" s="115"/>
      <c r="CH47" s="115"/>
      <c r="CI47" s="115"/>
      <c r="CJ47" s="115"/>
      <c r="CK47" s="115"/>
      <c r="CL47" s="115"/>
      <c r="CM47" s="115"/>
      <c r="CN47" s="115"/>
      <c r="CO47" s="115"/>
      <c r="CP47" s="115"/>
      <c r="CQ47" s="115"/>
      <c r="CR47" s="115"/>
      <c r="CS47" s="115"/>
      <c r="CT47" s="115"/>
      <c r="CU47" s="115"/>
      <c r="CV47" s="115"/>
      <c r="EL47" s="115"/>
      <c r="EM47" s="115"/>
      <c r="EN47" s="115"/>
      <c r="EO47" s="115"/>
    </row>
    <row r="48" spans="1:145" s="2" customFormat="1" ht="15.75" x14ac:dyDescent="0.25">
      <c r="A48" s="13"/>
      <c r="B48" s="147"/>
      <c r="C48" s="206"/>
      <c r="D48" s="147"/>
      <c r="F48" s="147" t="s">
        <v>274</v>
      </c>
      <c r="G48" s="136">
        <v>2.6162999999999995E-2</v>
      </c>
      <c r="H48" s="209"/>
      <c r="I48" s="184">
        <f t="shared" si="177"/>
        <v>0</v>
      </c>
      <c r="J48" s="255">
        <v>2.6162999999999995E-2</v>
      </c>
      <c r="K48" s="184">
        <f t="shared" si="191"/>
        <v>1.9697853471812202E-2</v>
      </c>
      <c r="L48" s="148">
        <f t="shared" si="178"/>
        <v>0</v>
      </c>
      <c r="N48" s="228"/>
      <c r="O48" s="225"/>
      <c r="P48" s="225"/>
      <c r="Q48" s="226"/>
      <c r="R48" s="227"/>
      <c r="AP48" s="247">
        <f t="shared" si="179"/>
        <v>2.6162999999999995E-2</v>
      </c>
      <c r="AQ48" s="125">
        <f t="shared" si="180"/>
        <v>0</v>
      </c>
      <c r="AR48" s="125">
        <f t="shared" si="181"/>
        <v>4.8102592388306664E-2</v>
      </c>
      <c r="AV48" s="136">
        <f t="shared" si="182"/>
        <v>2.6162999999999995E-2</v>
      </c>
      <c r="AW48" s="168">
        <f t="shared" si="183"/>
        <v>0</v>
      </c>
      <c r="AX48" s="176">
        <f t="shared" si="184"/>
        <v>0</v>
      </c>
      <c r="AY48" s="125">
        <f t="shared" si="185"/>
        <v>2.6162999999999995E-2</v>
      </c>
      <c r="AZ48" s="125">
        <f t="shared" si="186"/>
        <v>1.5454545454545448E-2</v>
      </c>
      <c r="BA48" s="2">
        <f t="shared" si="187"/>
        <v>0</v>
      </c>
      <c r="BB48" s="125">
        <f t="shared" si="188"/>
        <v>1.9697853471812202E-2</v>
      </c>
      <c r="BC48" s="125">
        <f t="shared" si="189"/>
        <v>0</v>
      </c>
      <c r="BD48" s="248">
        <f t="shared" si="190"/>
        <v>3.4466850330733989E-2</v>
      </c>
      <c r="BF48" s="115"/>
      <c r="BG48" s="115"/>
      <c r="BH48" s="115"/>
      <c r="BI48" s="115"/>
      <c r="BJ48" s="115"/>
      <c r="BK48" s="115"/>
      <c r="BL48" s="115"/>
      <c r="BM48" s="115"/>
      <c r="BN48" s="115"/>
      <c r="BO48" s="115"/>
      <c r="BP48" s="115"/>
      <c r="BQ48" s="115"/>
      <c r="BR48" s="115"/>
      <c r="BS48" s="115"/>
      <c r="BT48" s="115"/>
      <c r="BU48" s="115"/>
      <c r="BV48" s="115"/>
      <c r="BW48" s="115"/>
      <c r="BX48" s="115"/>
      <c r="BY48" s="115"/>
      <c r="BZ48" s="115"/>
      <c r="CA48" s="115"/>
      <c r="CB48" s="115"/>
      <c r="CC48" s="115"/>
      <c r="CD48" s="115"/>
      <c r="CE48" s="115"/>
      <c r="CF48" s="115"/>
      <c r="CG48" s="115"/>
      <c r="CH48" s="115"/>
      <c r="CI48" s="115"/>
      <c r="CJ48" s="115"/>
      <c r="CK48" s="115"/>
      <c r="CL48" s="115"/>
      <c r="CM48" s="115"/>
      <c r="CN48" s="115"/>
      <c r="CO48" s="115"/>
      <c r="CP48" s="115"/>
      <c r="CQ48" s="115"/>
      <c r="CR48" s="115"/>
      <c r="CS48" s="115"/>
      <c r="CT48" s="115"/>
      <c r="CU48" s="115"/>
      <c r="CV48" s="115"/>
      <c r="EL48" s="115"/>
      <c r="EM48" s="115"/>
      <c r="EN48" s="115"/>
      <c r="EO48" s="115"/>
    </row>
    <row r="49" spans="1:145" s="2" customFormat="1" ht="15.75" x14ac:dyDescent="0.25">
      <c r="A49" s="13"/>
      <c r="B49" s="147" t="s">
        <v>252</v>
      </c>
      <c r="C49" s="205" t="e">
        <f>AZ32</f>
        <v>#DIV/0!</v>
      </c>
      <c r="D49" s="147" t="s">
        <v>359</v>
      </c>
      <c r="F49" s="147" t="s">
        <v>275</v>
      </c>
      <c r="G49" s="136">
        <v>2.4709500000000002E-2</v>
      </c>
      <c r="H49" s="209">
        <v>1</v>
      </c>
      <c r="I49" s="184">
        <f t="shared" si="177"/>
        <v>4.5430226144511865E-2</v>
      </c>
      <c r="J49" s="255">
        <v>2.4709500000000002E-2</v>
      </c>
      <c r="K49" s="184">
        <f t="shared" si="191"/>
        <v>1.8603528278933752E-2</v>
      </c>
      <c r="L49" s="148">
        <f t="shared" si="178"/>
        <v>3.2552025312359886E-2</v>
      </c>
      <c r="N49" s="229" t="e">
        <f>VLOOKUP(C$6,References!$A$116:$AS$124,24,FALSE)</f>
        <v>#N/A</v>
      </c>
      <c r="O49" s="230" t="e">
        <f>(N49-C49)/N49</f>
        <v>#N/A</v>
      </c>
      <c r="P49" s="230" t="e">
        <f t="shared" ref="P49:P50" si="192">IF(O49&gt;1,1,IF(O49&lt;0,0,O49))</f>
        <v>#N/A</v>
      </c>
      <c r="Q49" s="226" t="e">
        <f>P49*I49</f>
        <v>#N/A</v>
      </c>
      <c r="R49" s="227" t="e">
        <f>P49*L49</f>
        <v>#N/A</v>
      </c>
      <c r="AP49" s="247">
        <f t="shared" si="179"/>
        <v>0</v>
      </c>
      <c r="AQ49" s="125">
        <f t="shared" si="180"/>
        <v>2.4709500000000002E-2</v>
      </c>
      <c r="AR49" s="125">
        <f t="shared" si="181"/>
        <v>4.5430226144511865E-2</v>
      </c>
      <c r="AV49" s="136">
        <f t="shared" si="182"/>
        <v>2.4709500000000002E-2</v>
      </c>
      <c r="AW49" s="168">
        <f t="shared" si="183"/>
        <v>0</v>
      </c>
      <c r="AX49" s="176">
        <f t="shared" si="184"/>
        <v>0</v>
      </c>
      <c r="AY49" s="125">
        <f t="shared" si="185"/>
        <v>2.4709500000000002E-2</v>
      </c>
      <c r="AZ49" s="125">
        <f t="shared" si="186"/>
        <v>1.4595959595959595E-2</v>
      </c>
      <c r="BA49" s="2">
        <f t="shared" si="187"/>
        <v>1</v>
      </c>
      <c r="BB49" s="125">
        <f t="shared" si="188"/>
        <v>0</v>
      </c>
      <c r="BC49" s="125">
        <f t="shared" si="189"/>
        <v>1.8603528278933752E-2</v>
      </c>
      <c r="BD49" s="248">
        <f t="shared" si="190"/>
        <v>3.2552025312359886E-2</v>
      </c>
      <c r="BF49" s="115"/>
      <c r="BG49" s="115"/>
      <c r="BH49" s="115"/>
      <c r="BI49" s="115"/>
      <c r="BJ49" s="115"/>
      <c r="BK49" s="115"/>
      <c r="BL49" s="115"/>
      <c r="BM49" s="115"/>
      <c r="BN49" s="115"/>
      <c r="BO49" s="115"/>
      <c r="BP49" s="115"/>
      <c r="BQ49" s="115"/>
      <c r="BR49" s="115"/>
      <c r="BS49" s="115"/>
      <c r="BT49" s="115"/>
      <c r="BU49" s="115"/>
      <c r="BV49" s="115"/>
      <c r="BW49" s="115"/>
      <c r="BX49" s="115"/>
      <c r="BY49" s="115"/>
      <c r="BZ49" s="115"/>
      <c r="CA49" s="115"/>
      <c r="CB49" s="115"/>
      <c r="CC49" s="115"/>
      <c r="CD49" s="115"/>
      <c r="CE49" s="115"/>
      <c r="CF49" s="115"/>
      <c r="CG49" s="115"/>
      <c r="CH49" s="115"/>
      <c r="CI49" s="115"/>
      <c r="CJ49" s="115"/>
      <c r="CK49" s="115"/>
      <c r="CL49" s="115"/>
      <c r="CM49" s="115"/>
      <c r="CN49" s="115"/>
      <c r="CO49" s="115"/>
      <c r="CP49" s="115"/>
      <c r="CQ49" s="115"/>
      <c r="CR49" s="115"/>
      <c r="CS49" s="115"/>
      <c r="CT49" s="115"/>
      <c r="CU49" s="115"/>
      <c r="CV49" s="115"/>
      <c r="EL49" s="115"/>
      <c r="EM49" s="115"/>
      <c r="EN49" s="115"/>
      <c r="EO49" s="115"/>
    </row>
    <row r="50" spans="1:145" s="2" customFormat="1" ht="15.75" x14ac:dyDescent="0.25">
      <c r="A50" s="13"/>
      <c r="B50" s="147" t="s">
        <v>276</v>
      </c>
      <c r="C50" s="204" t="e">
        <f>1-(AZ32/AY32)</f>
        <v>#DIV/0!</v>
      </c>
      <c r="D50" s="147" t="s">
        <v>360</v>
      </c>
      <c r="F50" s="147" t="s">
        <v>276</v>
      </c>
      <c r="G50" s="136">
        <v>2.3255999999999999E-2</v>
      </c>
      <c r="H50" s="209">
        <v>1</v>
      </c>
      <c r="I50" s="184">
        <f t="shared" si="177"/>
        <v>4.2757859900717038E-2</v>
      </c>
      <c r="J50" s="255">
        <v>2.3255999999999999E-2</v>
      </c>
      <c r="K50" s="184">
        <f t="shared" si="191"/>
        <v>1.7509203086055292E-2</v>
      </c>
      <c r="L50" s="148">
        <f t="shared" si="178"/>
        <v>3.063720029398577E-2</v>
      </c>
      <c r="N50" s="228">
        <v>1</v>
      </c>
      <c r="O50" s="230" t="e">
        <f>C50/N50</f>
        <v>#DIV/0!</v>
      </c>
      <c r="P50" s="230" t="e">
        <f t="shared" si="192"/>
        <v>#DIV/0!</v>
      </c>
      <c r="Q50" s="226" t="e">
        <f>P50*I50</f>
        <v>#DIV/0!</v>
      </c>
      <c r="R50" s="227" t="e">
        <f>P50*L50</f>
        <v>#DIV/0!</v>
      </c>
      <c r="AP50" s="247">
        <f t="shared" si="179"/>
        <v>0</v>
      </c>
      <c r="AQ50" s="125">
        <f t="shared" si="180"/>
        <v>2.3255999999999999E-2</v>
      </c>
      <c r="AR50" s="125">
        <f t="shared" si="181"/>
        <v>4.2757859900717038E-2</v>
      </c>
      <c r="AV50" s="136">
        <f t="shared" si="182"/>
        <v>2.3255999999999999E-2</v>
      </c>
      <c r="AW50" s="168">
        <f t="shared" si="183"/>
        <v>0</v>
      </c>
      <c r="AX50" s="176">
        <f t="shared" si="184"/>
        <v>0</v>
      </c>
      <c r="AY50" s="125">
        <f t="shared" si="185"/>
        <v>2.3255999999999999E-2</v>
      </c>
      <c r="AZ50" s="125">
        <f t="shared" si="186"/>
        <v>1.3737373737373734E-2</v>
      </c>
      <c r="BA50" s="2">
        <f t="shared" si="187"/>
        <v>1</v>
      </c>
      <c r="BB50" s="125">
        <f t="shared" si="188"/>
        <v>0</v>
      </c>
      <c r="BC50" s="125">
        <f t="shared" si="189"/>
        <v>1.7509203086055292E-2</v>
      </c>
      <c r="BD50" s="248">
        <f t="shared" si="190"/>
        <v>3.063720029398577E-2</v>
      </c>
      <c r="BF50" s="115"/>
      <c r="BG50" s="115"/>
      <c r="BH50" s="115"/>
      <c r="BI50" s="115"/>
      <c r="BJ50" s="115"/>
      <c r="BK50" s="115"/>
      <c r="BL50" s="115"/>
      <c r="BM50" s="115"/>
      <c r="BN50" s="115"/>
      <c r="BO50" s="115"/>
      <c r="BP50" s="115"/>
      <c r="BQ50" s="115"/>
      <c r="BR50" s="115"/>
      <c r="BS50" s="115"/>
      <c r="BT50" s="115"/>
      <c r="BU50" s="115"/>
      <c r="BV50" s="115"/>
      <c r="BW50" s="115"/>
      <c r="BX50" s="115"/>
      <c r="BY50" s="115"/>
      <c r="BZ50" s="115"/>
      <c r="CA50" s="115"/>
      <c r="CB50" s="115"/>
      <c r="CC50" s="115"/>
      <c r="CD50" s="115"/>
      <c r="CE50" s="115"/>
      <c r="CF50" s="115"/>
      <c r="CG50" s="115"/>
      <c r="CH50" s="115"/>
      <c r="CI50" s="115"/>
      <c r="CJ50" s="115"/>
      <c r="CK50" s="115"/>
      <c r="CL50" s="115"/>
      <c r="CM50" s="115"/>
      <c r="CN50" s="115"/>
      <c r="CO50" s="115"/>
      <c r="CP50" s="115"/>
      <c r="CQ50" s="115"/>
      <c r="CR50" s="115"/>
      <c r="CS50" s="115"/>
      <c r="CT50" s="115"/>
      <c r="CU50" s="115"/>
      <c r="CV50" s="115"/>
      <c r="EL50" s="115"/>
      <c r="EM50" s="115"/>
      <c r="EN50" s="115"/>
      <c r="EO50" s="115"/>
    </row>
    <row r="51" spans="1:145" s="2" customFormat="1" ht="15.75" x14ac:dyDescent="0.25">
      <c r="A51" s="13"/>
      <c r="B51" s="147"/>
      <c r="C51" s="206"/>
      <c r="D51" s="147"/>
      <c r="F51" s="147" t="s">
        <v>258</v>
      </c>
      <c r="G51" s="136">
        <v>2.0348999999999999E-2</v>
      </c>
      <c r="H51" s="209"/>
      <c r="I51" s="184">
        <f t="shared" si="177"/>
        <v>0</v>
      </c>
      <c r="J51" s="255">
        <v>2.0348999999999999E-2</v>
      </c>
      <c r="K51" s="184">
        <f t="shared" si="191"/>
        <v>1.5320552700298381E-2</v>
      </c>
      <c r="L51" s="148">
        <f t="shared" si="178"/>
        <v>0</v>
      </c>
      <c r="N51" s="228"/>
      <c r="O51" s="225"/>
      <c r="P51" s="225"/>
      <c r="Q51" s="226"/>
      <c r="R51" s="227"/>
      <c r="AP51" s="247">
        <f t="shared" si="179"/>
        <v>2.0348999999999999E-2</v>
      </c>
      <c r="AQ51" s="125">
        <f t="shared" si="180"/>
        <v>0</v>
      </c>
      <c r="AR51" s="125">
        <f t="shared" si="181"/>
        <v>3.7413127413127412E-2</v>
      </c>
      <c r="AV51" s="136">
        <f t="shared" si="182"/>
        <v>2.0348999999999999E-2</v>
      </c>
      <c r="AW51" s="168">
        <f t="shared" si="183"/>
        <v>0</v>
      </c>
      <c r="AX51" s="176">
        <f t="shared" si="184"/>
        <v>0</v>
      </c>
      <c r="AY51" s="125">
        <f t="shared" si="185"/>
        <v>2.0348999999999999E-2</v>
      </c>
      <c r="AZ51" s="125">
        <f t="shared" si="186"/>
        <v>1.2020202020202018E-2</v>
      </c>
      <c r="BA51" s="2">
        <f t="shared" si="187"/>
        <v>0</v>
      </c>
      <c r="BB51" s="125">
        <f t="shared" si="188"/>
        <v>1.5320552700298381E-2</v>
      </c>
      <c r="BC51" s="125">
        <f t="shared" si="189"/>
        <v>0</v>
      </c>
      <c r="BD51" s="248">
        <f t="shared" si="190"/>
        <v>2.680755025723755E-2</v>
      </c>
      <c r="BF51" s="115"/>
      <c r="BG51" s="115"/>
      <c r="BH51" s="115"/>
      <c r="BI51" s="115"/>
      <c r="BJ51" s="115"/>
      <c r="BK51" s="115"/>
      <c r="BL51" s="115"/>
      <c r="BM51" s="115"/>
      <c r="BN51" s="115"/>
      <c r="BO51" s="115"/>
      <c r="BP51" s="115"/>
      <c r="BQ51" s="115"/>
      <c r="BR51" s="115"/>
      <c r="BS51" s="115"/>
      <c r="BT51" s="115"/>
      <c r="BU51" s="115"/>
      <c r="BV51" s="115"/>
      <c r="BW51" s="115"/>
      <c r="BX51" s="115"/>
      <c r="BY51" s="115"/>
      <c r="BZ51" s="115"/>
      <c r="CA51" s="115"/>
      <c r="CB51" s="115"/>
      <c r="CC51" s="115"/>
      <c r="CD51" s="115"/>
      <c r="CE51" s="115"/>
      <c r="CF51" s="115"/>
      <c r="CG51" s="115"/>
      <c r="CH51" s="115"/>
      <c r="CI51" s="115"/>
      <c r="CJ51" s="115"/>
      <c r="CK51" s="115"/>
      <c r="CL51" s="115"/>
      <c r="CM51" s="115"/>
      <c r="CN51" s="115"/>
      <c r="CO51" s="115"/>
      <c r="CP51" s="115"/>
      <c r="CQ51" s="115"/>
      <c r="CR51" s="115"/>
      <c r="CS51" s="115"/>
      <c r="CT51" s="115"/>
      <c r="CU51" s="115"/>
      <c r="CV51" s="115"/>
      <c r="EL51" s="115"/>
      <c r="EM51" s="115"/>
      <c r="EN51" s="115"/>
      <c r="EO51" s="115"/>
    </row>
    <row r="52" spans="1:145" s="2" customFormat="1" ht="30" x14ac:dyDescent="0.25">
      <c r="A52" s="13"/>
      <c r="B52" s="147" t="s">
        <v>337</v>
      </c>
      <c r="C52" s="204" t="e">
        <f>(CJ32+CK32+CL32)/3</f>
        <v>#N/A</v>
      </c>
      <c r="D52" s="147" t="s">
        <v>362</v>
      </c>
      <c r="F52" s="147" t="s">
        <v>277</v>
      </c>
      <c r="G52" s="136">
        <v>2.68755E-2</v>
      </c>
      <c r="H52" s="209">
        <v>1</v>
      </c>
      <c r="I52" s="184">
        <f t="shared" si="177"/>
        <v>4.9412575841147263E-2</v>
      </c>
      <c r="J52" s="255">
        <v>2.68755E-2</v>
      </c>
      <c r="K52" s="184">
        <f t="shared" si="191"/>
        <v>2.0234287389889881E-2</v>
      </c>
      <c r="L52" s="148">
        <f t="shared" si="178"/>
        <v>3.5405490045623267E-2</v>
      </c>
      <c r="N52" s="228">
        <v>1</v>
      </c>
      <c r="O52" s="230" t="e">
        <f>C52/N52</f>
        <v>#N/A</v>
      </c>
      <c r="P52" s="230" t="e">
        <f t="shared" ref="P52:P55" si="193">IF(O52&gt;1,1,IF(O52&lt;0,0,O52))</f>
        <v>#N/A</v>
      </c>
      <c r="Q52" s="226" t="e">
        <f>P52*I52</f>
        <v>#N/A</v>
      </c>
      <c r="R52" s="227" t="e">
        <f>P52*L52</f>
        <v>#N/A</v>
      </c>
      <c r="AP52" s="247">
        <f t="shared" si="179"/>
        <v>0</v>
      </c>
      <c r="AQ52" s="125">
        <f t="shared" si="180"/>
        <v>2.68755E-2</v>
      </c>
      <c r="AR52" s="125">
        <f t="shared" si="181"/>
        <v>4.9412575841147263E-2</v>
      </c>
      <c r="AV52" s="136">
        <f t="shared" si="182"/>
        <v>2.68755E-2</v>
      </c>
      <c r="AW52" s="168">
        <f t="shared" si="183"/>
        <v>0</v>
      </c>
      <c r="AX52" s="176">
        <f t="shared" si="184"/>
        <v>0</v>
      </c>
      <c r="AY52" s="125">
        <f t="shared" si="185"/>
        <v>2.68755E-2</v>
      </c>
      <c r="AZ52" s="125">
        <f t="shared" si="186"/>
        <v>1.5875420875420872E-2</v>
      </c>
      <c r="BA52" s="2">
        <f t="shared" si="187"/>
        <v>1</v>
      </c>
      <c r="BB52" s="125">
        <f t="shared" si="188"/>
        <v>0</v>
      </c>
      <c r="BC52" s="125">
        <f t="shared" si="189"/>
        <v>2.0234287389889881E-2</v>
      </c>
      <c r="BD52" s="248">
        <f t="shared" si="190"/>
        <v>3.5405490045623267E-2</v>
      </c>
      <c r="BF52" s="115"/>
      <c r="BG52" s="115"/>
      <c r="BH52" s="115"/>
      <c r="BI52" s="115"/>
      <c r="BJ52" s="115"/>
      <c r="BK52" s="115"/>
      <c r="BL52" s="115"/>
      <c r="BM52" s="115"/>
      <c r="BN52" s="115"/>
      <c r="BO52" s="115"/>
      <c r="BP52" s="115"/>
      <c r="BQ52" s="115"/>
      <c r="BR52" s="115"/>
      <c r="BS52" s="115"/>
      <c r="BT52" s="115"/>
      <c r="BU52" s="115"/>
      <c r="BV52" s="115"/>
      <c r="BW52" s="115"/>
      <c r="BX52" s="115"/>
      <c r="BY52" s="115"/>
      <c r="BZ52" s="115"/>
      <c r="CA52" s="115"/>
      <c r="CB52" s="115"/>
      <c r="CC52" s="115"/>
      <c r="CD52" s="115"/>
      <c r="CE52" s="115"/>
      <c r="CF52" s="115"/>
      <c r="CG52" s="115"/>
      <c r="CH52" s="115"/>
      <c r="CI52" s="115"/>
      <c r="CJ52" s="115"/>
      <c r="CK52" s="115"/>
      <c r="CL52" s="115"/>
      <c r="CM52" s="115"/>
      <c r="CN52" s="115"/>
      <c r="CO52" s="115"/>
      <c r="CP52" s="115"/>
      <c r="CQ52" s="115"/>
      <c r="CR52" s="115"/>
      <c r="CS52" s="115"/>
      <c r="CT52" s="115"/>
      <c r="CU52" s="115"/>
      <c r="CV52" s="115"/>
      <c r="EL52" s="115"/>
      <c r="EM52" s="115"/>
      <c r="EN52" s="115"/>
      <c r="EO52" s="115"/>
    </row>
    <row r="53" spans="1:145" s="2" customFormat="1" ht="30" x14ac:dyDescent="0.25">
      <c r="A53" s="13"/>
      <c r="B53" s="147" t="s">
        <v>244</v>
      </c>
      <c r="C53" s="204">
        <f>CS32</f>
        <v>1</v>
      </c>
      <c r="D53" s="147" t="s">
        <v>362</v>
      </c>
      <c r="F53" s="147" t="s">
        <v>278</v>
      </c>
      <c r="G53" s="136">
        <v>3.8674499999999994E-2</v>
      </c>
      <c r="H53" s="209">
        <v>1</v>
      </c>
      <c r="I53" s="184">
        <f t="shared" si="177"/>
        <v>7.1105901820187528E-2</v>
      </c>
      <c r="J53" s="255">
        <v>0.1</v>
      </c>
      <c r="K53" s="184">
        <f t="shared" si="191"/>
        <v>7.5288970958270099E-2</v>
      </c>
      <c r="L53" s="148">
        <f t="shared" si="178"/>
        <v>0.13173890735287999</v>
      </c>
      <c r="N53" s="228">
        <v>1</v>
      </c>
      <c r="O53" s="230">
        <f>C53/N53</f>
        <v>1</v>
      </c>
      <c r="P53" s="230">
        <f t="shared" si="193"/>
        <v>1</v>
      </c>
      <c r="Q53" s="226">
        <f>P53*I53</f>
        <v>7.1105901820187528E-2</v>
      </c>
      <c r="R53" s="227">
        <f>P53*L53</f>
        <v>0.13173890735287999</v>
      </c>
      <c r="AP53" s="247">
        <f t="shared" si="179"/>
        <v>0</v>
      </c>
      <c r="AQ53" s="125">
        <f t="shared" si="180"/>
        <v>3.8674499999999994E-2</v>
      </c>
      <c r="AR53" s="125">
        <f t="shared" si="181"/>
        <v>7.1105901820187528E-2</v>
      </c>
      <c r="AV53" s="136">
        <f t="shared" si="182"/>
        <v>0.1</v>
      </c>
      <c r="AW53" s="168">
        <f t="shared" si="183"/>
        <v>1</v>
      </c>
      <c r="AX53" s="176">
        <f t="shared" si="184"/>
        <v>-6.1325500000000012E-2</v>
      </c>
      <c r="AY53" s="125">
        <f t="shared" si="185"/>
        <v>0</v>
      </c>
      <c r="AZ53" s="125">
        <f t="shared" si="186"/>
        <v>5.907023450883099E-2</v>
      </c>
      <c r="BA53" s="2">
        <f t="shared" si="187"/>
        <v>1</v>
      </c>
      <c r="BB53" s="125">
        <f t="shared" si="188"/>
        <v>0</v>
      </c>
      <c r="BC53" s="125">
        <f t="shared" si="189"/>
        <v>7.5288970958270099E-2</v>
      </c>
      <c r="BD53" s="248">
        <f t="shared" si="190"/>
        <v>0.13173890735287999</v>
      </c>
      <c r="BF53" s="115"/>
      <c r="BG53" s="115"/>
      <c r="BH53" s="115"/>
      <c r="BI53" s="115"/>
      <c r="BJ53" s="115"/>
      <c r="BK53" s="115"/>
      <c r="BL53" s="115"/>
      <c r="BM53" s="115"/>
      <c r="BN53" s="115"/>
      <c r="BO53" s="115"/>
      <c r="BP53" s="115"/>
      <c r="BQ53" s="115"/>
      <c r="BR53" s="115"/>
      <c r="BS53" s="115"/>
      <c r="BT53" s="115"/>
      <c r="BU53" s="115"/>
      <c r="BV53" s="115"/>
      <c r="BW53" s="115"/>
      <c r="BX53" s="115"/>
      <c r="BY53" s="115"/>
      <c r="BZ53" s="115"/>
      <c r="CA53" s="115"/>
      <c r="CB53" s="115"/>
      <c r="CC53" s="115"/>
      <c r="CD53" s="115"/>
      <c r="CE53" s="115"/>
      <c r="CF53" s="115"/>
      <c r="CG53" s="115"/>
      <c r="CH53" s="115"/>
      <c r="CI53" s="115"/>
      <c r="CJ53" s="115"/>
      <c r="CK53" s="115"/>
      <c r="CL53" s="115"/>
      <c r="CM53" s="115"/>
      <c r="CN53" s="115"/>
      <c r="CO53" s="115"/>
      <c r="CP53" s="115"/>
      <c r="CQ53" s="115"/>
      <c r="CR53" s="115"/>
      <c r="CS53" s="115"/>
      <c r="CT53" s="115"/>
      <c r="CU53" s="115"/>
      <c r="CV53" s="115"/>
      <c r="EL53" s="115"/>
      <c r="EM53" s="115"/>
      <c r="EN53" s="115"/>
      <c r="EO53" s="115"/>
    </row>
    <row r="54" spans="1:145" s="2" customFormat="1" ht="15.75" x14ac:dyDescent="0.25">
      <c r="A54" s="13"/>
      <c r="B54" s="147" t="s">
        <v>256</v>
      </c>
      <c r="C54" s="204" t="e">
        <f>BP32</f>
        <v>#DIV/0!</v>
      </c>
      <c r="D54" s="147" t="s">
        <v>361</v>
      </c>
      <c r="F54" s="147" t="s">
        <v>279</v>
      </c>
      <c r="G54" s="136">
        <v>2.223E-2</v>
      </c>
      <c r="H54" s="209">
        <v>1</v>
      </c>
      <c r="I54" s="184">
        <f t="shared" si="177"/>
        <v>4.0871483728626583E-2</v>
      </c>
      <c r="J54" s="255">
        <v>2.223E-2</v>
      </c>
      <c r="K54" s="184">
        <f t="shared" si="191"/>
        <v>1.6736738244023441E-2</v>
      </c>
      <c r="L54" s="148">
        <f t="shared" si="178"/>
        <v>2.9285559104545222E-2</v>
      </c>
      <c r="N54" s="228">
        <v>1</v>
      </c>
      <c r="O54" s="230" t="e">
        <f>C54/N54</f>
        <v>#DIV/0!</v>
      </c>
      <c r="P54" s="230" t="e">
        <f t="shared" si="193"/>
        <v>#DIV/0!</v>
      </c>
      <c r="Q54" s="226" t="e">
        <f>P54*I54</f>
        <v>#DIV/0!</v>
      </c>
      <c r="R54" s="227" t="e">
        <f>P54*L54</f>
        <v>#DIV/0!</v>
      </c>
      <c r="AP54" s="247">
        <f t="shared" si="179"/>
        <v>0</v>
      </c>
      <c r="AQ54" s="125">
        <f t="shared" si="180"/>
        <v>2.223E-2</v>
      </c>
      <c r="AR54" s="125">
        <f t="shared" si="181"/>
        <v>4.0871483728626583E-2</v>
      </c>
      <c r="AV54" s="136">
        <f t="shared" si="182"/>
        <v>2.223E-2</v>
      </c>
      <c r="AW54" s="168">
        <f t="shared" si="183"/>
        <v>0</v>
      </c>
      <c r="AX54" s="176">
        <f t="shared" si="184"/>
        <v>0</v>
      </c>
      <c r="AY54" s="125">
        <f t="shared" si="185"/>
        <v>2.223E-2</v>
      </c>
      <c r="AZ54" s="125">
        <f t="shared" si="186"/>
        <v>1.3131313131313129E-2</v>
      </c>
      <c r="BA54" s="2">
        <f t="shared" si="187"/>
        <v>1</v>
      </c>
      <c r="BB54" s="125">
        <f t="shared" si="188"/>
        <v>0</v>
      </c>
      <c r="BC54" s="125">
        <f t="shared" si="189"/>
        <v>1.6736738244023441E-2</v>
      </c>
      <c r="BD54" s="248">
        <f t="shared" si="190"/>
        <v>2.9285559104545222E-2</v>
      </c>
      <c r="BF54" s="115"/>
      <c r="BG54" s="115"/>
      <c r="BH54" s="115"/>
      <c r="BI54" s="115"/>
      <c r="BJ54" s="115"/>
      <c r="BK54" s="115"/>
      <c r="BL54" s="115"/>
      <c r="BM54" s="115"/>
      <c r="BN54" s="115"/>
      <c r="BO54" s="115"/>
      <c r="BP54" s="115"/>
      <c r="BQ54" s="115"/>
      <c r="BR54" s="115"/>
      <c r="BS54" s="115"/>
      <c r="BT54" s="115"/>
      <c r="BU54" s="115"/>
      <c r="BV54" s="115"/>
      <c r="BW54" s="115"/>
      <c r="BX54" s="115"/>
      <c r="BY54" s="115"/>
      <c r="BZ54" s="115"/>
      <c r="CA54" s="115"/>
      <c r="CB54" s="115"/>
      <c r="CC54" s="115"/>
      <c r="CD54" s="115"/>
      <c r="CE54" s="115"/>
      <c r="CF54" s="115"/>
      <c r="CG54" s="115"/>
      <c r="CH54" s="115"/>
      <c r="CI54" s="115"/>
      <c r="CJ54" s="115"/>
      <c r="CK54" s="115"/>
      <c r="CL54" s="115"/>
      <c r="CM54" s="115"/>
      <c r="CN54" s="115"/>
      <c r="CO54" s="115"/>
      <c r="CP54" s="115"/>
      <c r="CQ54" s="115"/>
      <c r="CR54" s="115"/>
      <c r="CS54" s="115"/>
      <c r="CT54" s="115"/>
      <c r="CU54" s="115"/>
      <c r="CV54" s="115"/>
      <c r="EL54" s="115"/>
      <c r="EM54" s="115"/>
      <c r="EN54" s="115"/>
      <c r="EO54" s="115"/>
    </row>
    <row r="55" spans="1:145" s="2" customFormat="1" ht="15.75" x14ac:dyDescent="0.25">
      <c r="A55" s="13"/>
      <c r="B55" s="147" t="s">
        <v>357</v>
      </c>
      <c r="C55" s="204" t="e">
        <f>BK32</f>
        <v>#DIV/0!</v>
      </c>
      <c r="D55" s="147" t="s">
        <v>360</v>
      </c>
      <c r="F55" s="147" t="s">
        <v>268</v>
      </c>
      <c r="G55" s="136">
        <v>1.9266000000000002E-2</v>
      </c>
      <c r="H55" s="209">
        <v>1</v>
      </c>
      <c r="I55" s="184">
        <f t="shared" si="177"/>
        <v>3.5421952564809706E-2</v>
      </c>
      <c r="J55" s="255">
        <v>1.9266000000000002E-2</v>
      </c>
      <c r="K55" s="184">
        <f t="shared" si="191"/>
        <v>1.4505173144820317E-2</v>
      </c>
      <c r="L55" s="148">
        <f t="shared" si="178"/>
        <v>2.538081789060586E-2</v>
      </c>
      <c r="N55" s="228" t="e">
        <f>VLOOKUP(C$6,References!$A$116:$AS$124,28,FALSE)</f>
        <v>#N/A</v>
      </c>
      <c r="O55" s="230" t="e">
        <f>C55/N55</f>
        <v>#DIV/0!</v>
      </c>
      <c r="P55" s="230" t="e">
        <f t="shared" si="193"/>
        <v>#DIV/0!</v>
      </c>
      <c r="Q55" s="226" t="e">
        <f>P55*I55</f>
        <v>#DIV/0!</v>
      </c>
      <c r="R55" s="227" t="e">
        <f>P55*L55</f>
        <v>#DIV/0!</v>
      </c>
      <c r="AP55" s="247">
        <f t="shared" si="179"/>
        <v>0</v>
      </c>
      <c r="AQ55" s="125">
        <f t="shared" si="180"/>
        <v>1.9266000000000002E-2</v>
      </c>
      <c r="AR55" s="125">
        <f t="shared" si="181"/>
        <v>3.5421952564809706E-2</v>
      </c>
      <c r="AV55" s="136">
        <f t="shared" si="182"/>
        <v>1.9266000000000002E-2</v>
      </c>
      <c r="AW55" s="168">
        <f t="shared" si="183"/>
        <v>0</v>
      </c>
      <c r="AX55" s="176">
        <f t="shared" si="184"/>
        <v>0</v>
      </c>
      <c r="AY55" s="125">
        <f t="shared" si="185"/>
        <v>1.9266000000000002E-2</v>
      </c>
      <c r="AZ55" s="125">
        <f t="shared" si="186"/>
        <v>1.138047138047138E-2</v>
      </c>
      <c r="BA55" s="2">
        <f t="shared" si="187"/>
        <v>1</v>
      </c>
      <c r="BB55" s="125">
        <f t="shared" si="188"/>
        <v>0</v>
      </c>
      <c r="BC55" s="125">
        <f t="shared" si="189"/>
        <v>1.4505173144820317E-2</v>
      </c>
      <c r="BD55" s="248">
        <f t="shared" si="190"/>
        <v>2.538081789060586E-2</v>
      </c>
      <c r="BF55" s="115"/>
      <c r="BG55" s="115"/>
      <c r="BH55" s="115"/>
      <c r="BI55" s="115"/>
      <c r="BJ55" s="115"/>
      <c r="BK55" s="115"/>
      <c r="BL55" s="115"/>
      <c r="BM55" s="115"/>
      <c r="BN55" s="115"/>
      <c r="BO55" s="115"/>
      <c r="BP55" s="115"/>
      <c r="BQ55" s="115"/>
      <c r="BR55" s="115"/>
      <c r="BS55" s="115"/>
      <c r="BT55" s="115"/>
      <c r="BU55" s="115"/>
      <c r="BV55" s="115"/>
      <c r="BW55" s="115"/>
      <c r="BX55" s="115"/>
      <c r="BY55" s="115"/>
      <c r="BZ55" s="115"/>
      <c r="CA55" s="115"/>
      <c r="CB55" s="115"/>
      <c r="CC55" s="115"/>
      <c r="CD55" s="115"/>
      <c r="CE55" s="115"/>
      <c r="CF55" s="115"/>
      <c r="CG55" s="115"/>
      <c r="CH55" s="115"/>
      <c r="CI55" s="115"/>
      <c r="CJ55" s="115"/>
      <c r="CK55" s="115"/>
      <c r="CL55" s="115"/>
      <c r="CM55" s="115"/>
      <c r="CN55" s="115"/>
      <c r="CO55" s="115"/>
      <c r="CP55" s="115"/>
      <c r="CQ55" s="115"/>
      <c r="CR55" s="115"/>
      <c r="CS55" s="115"/>
      <c r="CT55" s="115"/>
      <c r="CU55" s="115"/>
      <c r="CV55" s="115"/>
      <c r="EL55" s="115"/>
      <c r="EM55" s="115"/>
      <c r="EN55" s="115"/>
      <c r="EO55" s="115"/>
    </row>
    <row r="56" spans="1:145" s="2" customFormat="1" ht="15.75" x14ac:dyDescent="0.25">
      <c r="A56" s="13"/>
      <c r="B56" s="257" t="s">
        <v>418</v>
      </c>
      <c r="C56" s="206"/>
      <c r="D56" s="147"/>
      <c r="F56" s="147" t="s">
        <v>280</v>
      </c>
      <c r="G56" s="136">
        <v>1.482E-2</v>
      </c>
      <c r="H56" s="209"/>
      <c r="I56" s="184">
        <f t="shared" si="177"/>
        <v>0</v>
      </c>
      <c r="J56" s="255">
        <v>1.482E-2</v>
      </c>
      <c r="K56" s="184">
        <f t="shared" si="191"/>
        <v>1.1157825496015628E-2</v>
      </c>
      <c r="L56" s="148">
        <f t="shared" si="178"/>
        <v>0</v>
      </c>
      <c r="N56" s="228"/>
      <c r="O56" s="225"/>
      <c r="P56" s="225"/>
      <c r="Q56" s="225"/>
      <c r="R56" s="227"/>
      <c r="AP56" s="247">
        <f t="shared" si="179"/>
        <v>1.482E-2</v>
      </c>
      <c r="AQ56" s="125">
        <f t="shared" si="180"/>
        <v>0</v>
      </c>
      <c r="AR56" s="125">
        <f t="shared" si="181"/>
        <v>2.7247655819084386E-2</v>
      </c>
      <c r="AV56" s="136">
        <f t="shared" si="182"/>
        <v>1.482E-2</v>
      </c>
      <c r="AW56" s="168">
        <f t="shared" si="183"/>
        <v>0</v>
      </c>
      <c r="AX56" s="176">
        <f t="shared" si="184"/>
        <v>0</v>
      </c>
      <c r="AY56" s="125">
        <f t="shared" si="185"/>
        <v>1.482E-2</v>
      </c>
      <c r="AZ56" s="125">
        <f t="shared" si="186"/>
        <v>8.7542087542087522E-3</v>
      </c>
      <c r="BA56" s="2">
        <f t="shared" si="187"/>
        <v>0</v>
      </c>
      <c r="BB56" s="125">
        <f t="shared" si="188"/>
        <v>1.1157825496015628E-2</v>
      </c>
      <c r="BC56" s="125">
        <f t="shared" si="189"/>
        <v>0</v>
      </c>
      <c r="BD56" s="248">
        <f t="shared" si="190"/>
        <v>1.9523706069696813E-2</v>
      </c>
      <c r="BF56" s="115"/>
      <c r="BG56" s="115"/>
      <c r="BH56" s="115"/>
      <c r="BI56" s="115"/>
      <c r="BJ56" s="115"/>
      <c r="BK56" s="115"/>
      <c r="BL56" s="115"/>
      <c r="BM56" s="115"/>
      <c r="BN56" s="115"/>
      <c r="BO56" s="115"/>
      <c r="BP56" s="115"/>
      <c r="BQ56" s="115"/>
      <c r="BR56" s="115"/>
      <c r="BS56" s="115"/>
      <c r="BT56" s="115"/>
      <c r="BU56" s="115"/>
      <c r="BV56" s="115"/>
      <c r="BW56" s="115"/>
      <c r="BX56" s="115"/>
      <c r="BY56" s="115"/>
      <c r="BZ56" s="115"/>
      <c r="CA56" s="115"/>
      <c r="CB56" s="115"/>
      <c r="CC56" s="115"/>
      <c r="CD56" s="115"/>
      <c r="CE56" s="115"/>
      <c r="CF56" s="115"/>
      <c r="CG56" s="115"/>
      <c r="CH56" s="115"/>
      <c r="CI56" s="115"/>
      <c r="CJ56" s="115"/>
      <c r="CK56" s="115"/>
      <c r="CL56" s="115"/>
      <c r="CM56" s="115"/>
      <c r="CN56" s="115"/>
      <c r="CO56" s="115"/>
      <c r="CP56" s="115"/>
      <c r="CQ56" s="115"/>
      <c r="CR56" s="115"/>
      <c r="CS56" s="115"/>
      <c r="CT56" s="115"/>
      <c r="CU56" s="115"/>
      <c r="CV56" s="115"/>
      <c r="EL56" s="115"/>
      <c r="EM56" s="115"/>
      <c r="EN56" s="115"/>
      <c r="EO56" s="115"/>
    </row>
    <row r="57" spans="1:145" s="2" customFormat="1" ht="15.75" x14ac:dyDescent="0.25">
      <c r="A57" s="13"/>
      <c r="B57" s="147"/>
      <c r="C57" s="206"/>
      <c r="D57" s="147"/>
      <c r="F57" s="147" t="s">
        <v>281</v>
      </c>
      <c r="G57" s="136">
        <v>1.7783999999999998E-2</v>
      </c>
      <c r="H57" s="209"/>
      <c r="I57" s="184">
        <f t="shared" si="177"/>
        <v>0</v>
      </c>
      <c r="J57" s="255">
        <v>0.05</v>
      </c>
      <c r="K57" s="184">
        <f t="shared" si="191"/>
        <v>3.7644485479135049E-2</v>
      </c>
      <c r="L57" s="148">
        <f t="shared" si="178"/>
        <v>0</v>
      </c>
      <c r="N57" s="228"/>
      <c r="O57" s="225"/>
      <c r="P57" s="225"/>
      <c r="Q57" s="225"/>
      <c r="R57" s="227"/>
      <c r="AP57" s="247">
        <f t="shared" si="179"/>
        <v>1.7783999999999998E-2</v>
      </c>
      <c r="AQ57" s="125">
        <f t="shared" si="180"/>
        <v>0</v>
      </c>
      <c r="AR57" s="125">
        <f t="shared" si="181"/>
        <v>3.2697186982901263E-2</v>
      </c>
      <c r="AV57" s="136">
        <f t="shared" si="182"/>
        <v>0.05</v>
      </c>
      <c r="AW57" s="168">
        <f t="shared" si="183"/>
        <v>1</v>
      </c>
      <c r="AX57" s="176">
        <f t="shared" si="184"/>
        <v>-3.2216000000000009E-2</v>
      </c>
      <c r="AY57" s="125">
        <f t="shared" si="185"/>
        <v>0</v>
      </c>
      <c r="AZ57" s="125">
        <f t="shared" si="186"/>
        <v>2.9535117254415495E-2</v>
      </c>
      <c r="BA57" s="2">
        <f t="shared" si="187"/>
        <v>0</v>
      </c>
      <c r="BB57" s="125">
        <f t="shared" si="188"/>
        <v>3.7644485479135049E-2</v>
      </c>
      <c r="BC57" s="125">
        <f t="shared" si="189"/>
        <v>0</v>
      </c>
      <c r="BD57" s="248">
        <f t="shared" si="190"/>
        <v>6.5869453676439996E-2</v>
      </c>
      <c r="BF57" s="115"/>
      <c r="BG57" s="115"/>
      <c r="BH57" s="115"/>
      <c r="BI57" s="115"/>
      <c r="BJ57" s="115"/>
      <c r="BK57" s="115"/>
      <c r="BL57" s="115"/>
      <c r="BM57" s="115"/>
      <c r="BN57" s="115"/>
      <c r="BO57" s="115"/>
      <c r="BP57" s="115"/>
      <c r="BQ57" s="115"/>
      <c r="BR57" s="115"/>
      <c r="BS57" s="115"/>
      <c r="BT57" s="115"/>
      <c r="BU57" s="115"/>
      <c r="BV57" s="115"/>
      <c r="BW57" s="115"/>
      <c r="BX57" s="115"/>
      <c r="BY57" s="115"/>
      <c r="BZ57" s="115"/>
      <c r="CA57" s="115"/>
      <c r="CB57" s="115"/>
      <c r="CC57" s="115"/>
      <c r="CD57" s="115"/>
      <c r="CE57" s="115"/>
      <c r="CF57" s="115"/>
      <c r="CG57" s="115"/>
      <c r="CH57" s="115"/>
      <c r="CI57" s="115"/>
      <c r="CJ57" s="115"/>
      <c r="CK57" s="115"/>
      <c r="CL57" s="115"/>
      <c r="CM57" s="115"/>
      <c r="CN57" s="115"/>
      <c r="CO57" s="115"/>
      <c r="CP57" s="115"/>
      <c r="CQ57" s="115"/>
      <c r="CR57" s="115"/>
      <c r="CS57" s="115"/>
      <c r="CT57" s="115"/>
      <c r="CU57" s="115"/>
      <c r="CV57" s="115"/>
      <c r="EL57" s="115"/>
      <c r="EM57" s="115"/>
      <c r="EN57" s="115"/>
      <c r="EO57" s="115"/>
    </row>
    <row r="58" spans="1:145" s="121" customFormat="1" ht="15.75" x14ac:dyDescent="0.25">
      <c r="A58" s="124"/>
      <c r="B58" s="181"/>
      <c r="C58" s="206"/>
      <c r="D58" s="181"/>
      <c r="F58" s="181" t="s">
        <v>314</v>
      </c>
      <c r="G58" s="134"/>
      <c r="H58" s="134">
        <f>AP58/AQ58</f>
        <v>0.8385732671446956</v>
      </c>
      <c r="I58" s="185">
        <f>SUM(I46:I57)</f>
        <v>0.28499999999999998</v>
      </c>
      <c r="J58" s="256"/>
      <c r="K58" s="185">
        <f>SUM(K46:K57)</f>
        <v>0.28499999999999998</v>
      </c>
      <c r="L58" s="149">
        <f>SUM(L46:L57)</f>
        <v>0.28500000000000003</v>
      </c>
      <c r="N58" s="239"/>
      <c r="O58" s="218" t="s">
        <v>354</v>
      </c>
      <c r="P58" s="219"/>
      <c r="Q58" s="220" t="e">
        <f>SUM(Q46:Q57)</f>
        <v>#N/A</v>
      </c>
      <c r="R58" s="221" t="e">
        <f>SUM(R46:R57)</f>
        <v>#N/A</v>
      </c>
      <c r="AP58" s="181">
        <f>SUM(AP46:AP57)</f>
        <v>0.12998849999999998</v>
      </c>
      <c r="AQ58" s="134">
        <f>SUM(AQ46:AQ57)</f>
        <v>0.1550115</v>
      </c>
      <c r="AR58" s="135"/>
      <c r="AV58" s="134"/>
      <c r="AW58" s="174">
        <f>(AX58/AY58)</f>
        <v>-0.40929765491169012</v>
      </c>
      <c r="AX58" s="177">
        <f>SUM(AX46:AX57)</f>
        <v>-9.3541500000000027E-2</v>
      </c>
      <c r="AY58" s="174">
        <f>SUM(AY46:AY57)</f>
        <v>0.22854150000000001</v>
      </c>
      <c r="AZ58" s="135"/>
      <c r="BA58" s="134">
        <f>BB58/BC58</f>
        <v>0.74977696834106045</v>
      </c>
      <c r="BB58" s="134">
        <f>SUM(BB46:BB57)</f>
        <v>0.12212209889800721</v>
      </c>
      <c r="BC58" s="134">
        <f>SUM(BC46:BC57)</f>
        <v>0.16287790110199277</v>
      </c>
      <c r="BD58" s="249"/>
      <c r="BF58" s="111"/>
      <c r="BG58" s="111"/>
      <c r="BH58" s="111"/>
      <c r="BI58" s="111"/>
      <c r="BJ58" s="111"/>
      <c r="BK58" s="111"/>
      <c r="BL58" s="111"/>
      <c r="BM58" s="111"/>
      <c r="BN58" s="111"/>
      <c r="BO58" s="111"/>
      <c r="BP58" s="111"/>
      <c r="BQ58" s="111"/>
      <c r="BR58" s="111"/>
      <c r="BS58" s="111"/>
      <c r="BT58" s="111"/>
      <c r="BU58" s="111"/>
      <c r="BV58" s="111"/>
      <c r="BW58" s="111"/>
      <c r="BX58" s="111"/>
      <c r="BY58" s="111"/>
      <c r="BZ58" s="111"/>
      <c r="CA58" s="111"/>
      <c r="CB58" s="111"/>
      <c r="CC58" s="111"/>
      <c r="CD58" s="111"/>
      <c r="CE58" s="111"/>
      <c r="CF58" s="111"/>
      <c r="CG58" s="111"/>
      <c r="CH58" s="111"/>
      <c r="CI58" s="111"/>
      <c r="CJ58" s="111"/>
      <c r="CK58" s="111"/>
      <c r="CL58" s="111"/>
      <c r="CM58" s="111"/>
      <c r="CN58" s="111"/>
      <c r="CO58" s="111"/>
      <c r="CP58" s="111"/>
      <c r="CQ58" s="111"/>
      <c r="CR58" s="111"/>
      <c r="CS58" s="111"/>
      <c r="CT58" s="111"/>
      <c r="CU58" s="111"/>
      <c r="CV58" s="111"/>
      <c r="EL58" s="111"/>
      <c r="EM58" s="111"/>
      <c r="EN58" s="111"/>
      <c r="EO58" s="111"/>
    </row>
    <row r="59" spans="1:145" s="2" customFormat="1" ht="15.75" x14ac:dyDescent="0.25">
      <c r="A59" s="13"/>
      <c r="B59" s="150"/>
      <c r="C59" s="206"/>
      <c r="D59" s="150"/>
      <c r="F59" s="150" t="s">
        <v>282</v>
      </c>
      <c r="G59" s="130">
        <v>1.7657600000000002E-2</v>
      </c>
      <c r="H59" s="210"/>
      <c r="I59" s="186">
        <f t="shared" ref="I59:I70" si="194">H59*AR59</f>
        <v>0</v>
      </c>
      <c r="J59" s="255">
        <v>1.7657600000000002E-2</v>
      </c>
      <c r="K59" s="186">
        <f>(J59/SUM(J$59:J$70))*31%</f>
        <v>1.5989418780729472E-2</v>
      </c>
      <c r="L59" s="151">
        <f t="shared" ref="L59:L70" si="195">BA59*BD59</f>
        <v>0</v>
      </c>
      <c r="N59" s="235"/>
      <c r="O59" s="179"/>
      <c r="P59" s="179"/>
      <c r="Q59" s="179"/>
      <c r="R59" s="236"/>
      <c r="AP59" s="250">
        <f t="shared" ref="AP59:AP70" si="196">(IF(H59=0,G59,0))</f>
        <v>1.7657600000000002E-2</v>
      </c>
      <c r="AQ59" s="126">
        <f t="shared" ref="AQ59:AQ70" si="197">(IF(H59&gt;0,G59,0))</f>
        <v>0</v>
      </c>
      <c r="AR59" s="126">
        <f t="shared" ref="AR59:AR70" si="198">(G59*H$71)+G59</f>
        <v>6.4942716857610466E-2</v>
      </c>
      <c r="AV59" s="130">
        <f t="shared" ref="AV59:AV70" si="199">IF(ISNUMBER(J59),J59,G59)</f>
        <v>1.7657600000000002E-2</v>
      </c>
      <c r="AW59" s="169">
        <f t="shared" ref="AW59:AW70" si="200">IF(G59=AV59,0,1)</f>
        <v>0</v>
      </c>
      <c r="AX59" s="2">
        <f t="shared" ref="AX59:AX70" si="201">G59-AV59</f>
        <v>0</v>
      </c>
      <c r="AY59" s="126">
        <f t="shared" ref="AY59:AY70" si="202">(IF(AW59=0,AV59,0))</f>
        <v>1.7657600000000002E-2</v>
      </c>
      <c r="AZ59" s="126">
        <f t="shared" ref="AZ59:AZ70" si="203">(AV59*AW$71)+AV59</f>
        <v>1.5704105870376656E-2</v>
      </c>
      <c r="BA59" s="2">
        <f t="shared" ref="BA59:BA70" si="204">H59</f>
        <v>0</v>
      </c>
      <c r="BB59" s="126">
        <f t="shared" ref="BB59:BB70" si="205">(IF(BA59=0,K59,0))</f>
        <v>1.5989418780729472E-2</v>
      </c>
      <c r="BC59" s="126">
        <f t="shared" ref="BC59:BC70" si="206">(IF(BA59&gt;0,K59,0))</f>
        <v>0</v>
      </c>
      <c r="BD59" s="251">
        <f t="shared" ref="BD59:BD70" si="207">(K59*BA$71)+K59</f>
        <v>4.6933576610104534E-2</v>
      </c>
      <c r="BF59" s="115"/>
      <c r="BG59" s="115"/>
      <c r="BH59" s="115"/>
      <c r="BI59" s="115"/>
      <c r="BJ59" s="115"/>
      <c r="BK59" s="115"/>
      <c r="BL59" s="115"/>
      <c r="BM59" s="115"/>
      <c r="BN59" s="115"/>
      <c r="BO59" s="115"/>
      <c r="BP59" s="115"/>
      <c r="BQ59" s="115"/>
      <c r="BR59" s="115"/>
      <c r="BS59" s="115"/>
      <c r="BT59" s="115"/>
      <c r="BU59" s="115"/>
      <c r="BV59" s="115"/>
      <c r="BW59" s="115"/>
      <c r="BX59" s="115"/>
      <c r="BY59" s="115"/>
      <c r="BZ59" s="115"/>
      <c r="CA59" s="115"/>
      <c r="CB59" s="115"/>
      <c r="CC59" s="115"/>
      <c r="CD59" s="115"/>
      <c r="CE59" s="115"/>
      <c r="CF59" s="115"/>
      <c r="CG59" s="115"/>
      <c r="CH59" s="115"/>
      <c r="CI59" s="115"/>
      <c r="CJ59" s="115"/>
      <c r="CK59" s="115"/>
      <c r="CL59" s="115"/>
      <c r="CM59" s="115"/>
      <c r="CN59" s="115"/>
      <c r="CO59" s="115"/>
      <c r="CP59" s="115"/>
      <c r="CQ59" s="115"/>
      <c r="CR59" s="115"/>
      <c r="CS59" s="115"/>
      <c r="CT59" s="115"/>
      <c r="CU59" s="115"/>
      <c r="CV59" s="115"/>
      <c r="EL59" s="115"/>
      <c r="EM59" s="115"/>
      <c r="EN59" s="115"/>
      <c r="EO59" s="115"/>
    </row>
    <row r="60" spans="1:145" s="2" customFormat="1" ht="15.75" x14ac:dyDescent="0.25">
      <c r="A60" s="13"/>
      <c r="B60" s="150" t="s">
        <v>337</v>
      </c>
      <c r="C60" s="204" t="e">
        <f>(CJ32+CK32+CL32)/3</f>
        <v>#N/A</v>
      </c>
      <c r="D60" s="150" t="s">
        <v>362</v>
      </c>
      <c r="F60" s="150" t="s">
        <v>283</v>
      </c>
      <c r="G60" s="130">
        <v>2.3313550000000002E-2</v>
      </c>
      <c r="H60" s="210">
        <v>1</v>
      </c>
      <c r="I60" s="187">
        <f t="shared" si="194"/>
        <v>8.574468085106382E-2</v>
      </c>
      <c r="J60" s="255">
        <v>2.3313550000000002E-2</v>
      </c>
      <c r="K60" s="186">
        <f t="shared" ref="K60:K70" si="208">(J60/SUM(J$59:J$70))*31%</f>
        <v>2.1111029483931881E-2</v>
      </c>
      <c r="L60" s="152">
        <f t="shared" si="195"/>
        <v>6.1966987868028636E-2</v>
      </c>
      <c r="N60" s="235">
        <v>1</v>
      </c>
      <c r="O60" s="237" t="e">
        <f>C60/N60</f>
        <v>#N/A</v>
      </c>
      <c r="P60" s="237" t="e">
        <f t="shared" ref="P60:P61" si="209">IF(O60&gt;1,1,IF(O60&lt;0,0,O60))</f>
        <v>#N/A</v>
      </c>
      <c r="Q60" s="200" t="e">
        <f>((I60+I61+I62+I63)/2)*P60</f>
        <v>#N/A</v>
      </c>
      <c r="R60" s="236" t="e">
        <f>((L60+L61+L62+L63)/2)*P60</f>
        <v>#N/A</v>
      </c>
      <c r="AP60" s="250">
        <f t="shared" si="196"/>
        <v>0</v>
      </c>
      <c r="AQ60" s="126">
        <f t="shared" si="197"/>
        <v>2.3313550000000002E-2</v>
      </c>
      <c r="AR60" s="126">
        <f t="shared" si="198"/>
        <v>8.574468085106382E-2</v>
      </c>
      <c r="AV60" s="130">
        <f t="shared" si="199"/>
        <v>2.3313550000000002E-2</v>
      </c>
      <c r="AW60" s="169">
        <f t="shared" si="200"/>
        <v>0</v>
      </c>
      <c r="AX60" s="2">
        <f t="shared" si="201"/>
        <v>0</v>
      </c>
      <c r="AY60" s="126">
        <f t="shared" si="202"/>
        <v>2.3313550000000002E-2</v>
      </c>
      <c r="AZ60" s="126">
        <f t="shared" si="203"/>
        <v>2.0734327281981678E-2</v>
      </c>
      <c r="BA60" s="2">
        <f t="shared" si="204"/>
        <v>1</v>
      </c>
      <c r="BB60" s="126">
        <f t="shared" si="205"/>
        <v>0</v>
      </c>
      <c r="BC60" s="126">
        <f t="shared" si="206"/>
        <v>2.1111029483931881E-2</v>
      </c>
      <c r="BD60" s="251">
        <f t="shared" si="207"/>
        <v>6.1966987868028636E-2</v>
      </c>
      <c r="BF60" s="115"/>
      <c r="BG60" s="115"/>
      <c r="BH60" s="115"/>
      <c r="BI60" s="115"/>
      <c r="BJ60" s="115"/>
      <c r="BK60" s="115"/>
      <c r="BL60" s="115"/>
      <c r="BM60" s="115"/>
      <c r="BN60" s="115"/>
      <c r="BO60" s="115"/>
      <c r="BP60" s="115"/>
      <c r="BQ60" s="115"/>
      <c r="BR60" s="115"/>
      <c r="BS60" s="115"/>
      <c r="BT60" s="115"/>
      <c r="BU60" s="115"/>
      <c r="BV60" s="115"/>
      <c r="BW60" s="115"/>
      <c r="BX60" s="115"/>
      <c r="BY60" s="115"/>
      <c r="BZ60" s="115"/>
      <c r="CA60" s="115"/>
      <c r="CB60" s="115"/>
      <c r="CC60" s="115"/>
      <c r="CD60" s="115"/>
      <c r="CE60" s="115"/>
      <c r="CF60" s="115"/>
      <c r="CG60" s="115"/>
      <c r="CH60" s="115"/>
      <c r="CI60" s="115"/>
      <c r="CJ60" s="115"/>
      <c r="CK60" s="115"/>
      <c r="CL60" s="115"/>
      <c r="CM60" s="115"/>
      <c r="CN60" s="115"/>
      <c r="CO60" s="115"/>
      <c r="CP60" s="115"/>
      <c r="CQ60" s="115"/>
      <c r="CR60" s="115"/>
      <c r="CS60" s="115"/>
      <c r="CT60" s="115"/>
      <c r="CU60" s="115"/>
      <c r="CV60" s="115"/>
      <c r="EL60" s="115"/>
      <c r="EM60" s="115"/>
      <c r="EN60" s="115"/>
      <c r="EO60" s="115"/>
    </row>
    <row r="61" spans="1:145" s="2" customFormat="1" ht="15.75" x14ac:dyDescent="0.25">
      <c r="A61" s="13"/>
      <c r="B61" s="150" t="s">
        <v>244</v>
      </c>
      <c r="C61" s="204">
        <f>CS32</f>
        <v>1</v>
      </c>
      <c r="D61" s="150" t="s">
        <v>362</v>
      </c>
      <c r="F61" s="150" t="s">
        <v>284</v>
      </c>
      <c r="G61" s="130">
        <v>2.8003850000000004E-2</v>
      </c>
      <c r="H61" s="210">
        <v>1</v>
      </c>
      <c r="I61" s="187">
        <f t="shared" si="194"/>
        <v>0.10299509001636661</v>
      </c>
      <c r="J61" s="255">
        <v>2.8003850000000004E-2</v>
      </c>
      <c r="K61" s="186">
        <f t="shared" si="208"/>
        <v>2.5358218847563146E-2</v>
      </c>
      <c r="L61" s="152">
        <f t="shared" si="195"/>
        <v>7.443371915508766E-2</v>
      </c>
      <c r="N61" s="235">
        <v>1</v>
      </c>
      <c r="O61" s="237">
        <f>C61/N61</f>
        <v>1</v>
      </c>
      <c r="P61" s="237">
        <f t="shared" si="209"/>
        <v>1</v>
      </c>
      <c r="Q61" s="200">
        <f>((I60+I61+I62+I63)/2)*P61</f>
        <v>0.15499999999999997</v>
      </c>
      <c r="R61" s="236">
        <f>((L60+L61+L62+L63)/2)*P61</f>
        <v>0.155</v>
      </c>
      <c r="AP61" s="250">
        <f t="shared" si="196"/>
        <v>0</v>
      </c>
      <c r="AQ61" s="126">
        <f t="shared" si="197"/>
        <v>2.8003850000000004E-2</v>
      </c>
      <c r="AR61" s="126">
        <f t="shared" si="198"/>
        <v>0.10299509001636661</v>
      </c>
      <c r="AV61" s="130">
        <f t="shared" si="199"/>
        <v>2.8003850000000004E-2</v>
      </c>
      <c r="AW61" s="169">
        <f t="shared" si="200"/>
        <v>0</v>
      </c>
      <c r="AX61" s="2">
        <f t="shared" si="201"/>
        <v>0</v>
      </c>
      <c r="AY61" s="126">
        <f t="shared" si="202"/>
        <v>2.8003850000000004E-2</v>
      </c>
      <c r="AZ61" s="126">
        <f t="shared" si="203"/>
        <v>2.490573040380048E-2</v>
      </c>
      <c r="BA61" s="2">
        <f t="shared" si="204"/>
        <v>1</v>
      </c>
      <c r="BB61" s="126">
        <f t="shared" si="205"/>
        <v>0</v>
      </c>
      <c r="BC61" s="126">
        <f t="shared" si="206"/>
        <v>2.5358218847563146E-2</v>
      </c>
      <c r="BD61" s="251">
        <f t="shared" si="207"/>
        <v>7.443371915508766E-2</v>
      </c>
      <c r="BF61" s="115"/>
      <c r="BG61" s="115"/>
      <c r="BH61" s="115"/>
      <c r="BI61" s="115"/>
      <c r="BJ61" s="115"/>
      <c r="BK61" s="115"/>
      <c r="BL61" s="115"/>
      <c r="BM61" s="115"/>
      <c r="BN61" s="115"/>
      <c r="BO61" s="115"/>
      <c r="BP61" s="115"/>
      <c r="BQ61" s="115"/>
      <c r="BR61" s="115"/>
      <c r="BS61" s="115"/>
      <c r="BT61" s="115"/>
      <c r="BU61" s="115"/>
      <c r="BV61" s="115"/>
      <c r="BW61" s="115"/>
      <c r="BX61" s="115"/>
      <c r="BY61" s="115"/>
      <c r="BZ61" s="115"/>
      <c r="CA61" s="115"/>
      <c r="CB61" s="115"/>
      <c r="CC61" s="115"/>
      <c r="CD61" s="115"/>
      <c r="CE61" s="115"/>
      <c r="CF61" s="115"/>
      <c r="CG61" s="115"/>
      <c r="CH61" s="115"/>
      <c r="CI61" s="115"/>
      <c r="CJ61" s="115"/>
      <c r="CK61" s="115"/>
      <c r="CL61" s="115"/>
      <c r="CM61" s="115"/>
      <c r="CN61" s="115"/>
      <c r="CO61" s="115"/>
      <c r="CP61" s="115"/>
      <c r="CQ61" s="115"/>
      <c r="CR61" s="115"/>
      <c r="CS61" s="115"/>
      <c r="CT61" s="115"/>
      <c r="CU61" s="115"/>
      <c r="CV61" s="115"/>
      <c r="EL61" s="115"/>
      <c r="EM61" s="115"/>
      <c r="EN61" s="115"/>
      <c r="EO61" s="115"/>
    </row>
    <row r="62" spans="1:145" s="2" customFormat="1" ht="15.75" x14ac:dyDescent="0.25">
      <c r="A62" s="13"/>
      <c r="B62" s="150"/>
      <c r="C62" s="206"/>
      <c r="D62" s="150"/>
      <c r="F62" s="150" t="s">
        <v>285</v>
      </c>
      <c r="G62" s="130">
        <v>1.7657600000000002E-2</v>
      </c>
      <c r="H62" s="210">
        <v>1</v>
      </c>
      <c r="I62" s="187">
        <f t="shared" si="194"/>
        <v>6.4942716857610466E-2</v>
      </c>
      <c r="J62" s="255">
        <v>0.05</v>
      </c>
      <c r="K62" s="186">
        <f t="shared" si="208"/>
        <v>4.5276308163990205E-2</v>
      </c>
      <c r="L62" s="152">
        <f t="shared" si="195"/>
        <v>0.13289908201030867</v>
      </c>
      <c r="N62" s="235"/>
      <c r="O62" s="179"/>
      <c r="P62" s="179"/>
      <c r="Q62" s="179"/>
      <c r="R62" s="236"/>
      <c r="AP62" s="250">
        <f t="shared" si="196"/>
        <v>0</v>
      </c>
      <c r="AQ62" s="126">
        <f t="shared" si="197"/>
        <v>1.7657600000000002E-2</v>
      </c>
      <c r="AR62" s="126">
        <f t="shared" si="198"/>
        <v>6.4942716857610466E-2</v>
      </c>
      <c r="AV62" s="130">
        <f t="shared" si="199"/>
        <v>0.05</v>
      </c>
      <c r="AW62" s="169">
        <f t="shared" si="200"/>
        <v>1</v>
      </c>
      <c r="AX62" s="2">
        <f t="shared" si="201"/>
        <v>-3.23424E-2</v>
      </c>
      <c r="AY62" s="126">
        <f t="shared" si="202"/>
        <v>0</v>
      </c>
      <c r="AZ62" s="126">
        <f t="shared" si="203"/>
        <v>4.4468404172641397E-2</v>
      </c>
      <c r="BA62" s="2">
        <f t="shared" si="204"/>
        <v>1</v>
      </c>
      <c r="BB62" s="126">
        <f t="shared" si="205"/>
        <v>0</v>
      </c>
      <c r="BC62" s="126">
        <f t="shared" si="206"/>
        <v>4.5276308163990205E-2</v>
      </c>
      <c r="BD62" s="251">
        <f t="shared" si="207"/>
        <v>0.13289908201030867</v>
      </c>
      <c r="BF62" s="115"/>
      <c r="BG62" s="115"/>
      <c r="BH62" s="115"/>
      <c r="BI62" s="115"/>
      <c r="BJ62" s="115"/>
      <c r="BK62" s="115"/>
      <c r="BL62" s="115"/>
      <c r="BM62" s="115"/>
      <c r="BN62" s="115"/>
      <c r="BO62" s="115"/>
      <c r="BP62" s="115"/>
      <c r="BQ62" s="115"/>
      <c r="BR62" s="115"/>
      <c r="BS62" s="115"/>
      <c r="BT62" s="115"/>
      <c r="BU62" s="115"/>
      <c r="BV62" s="115"/>
      <c r="BW62" s="115"/>
      <c r="BX62" s="115"/>
      <c r="BY62" s="115"/>
      <c r="BZ62" s="115"/>
      <c r="CA62" s="115"/>
      <c r="CB62" s="115"/>
      <c r="CC62" s="115"/>
      <c r="CD62" s="115"/>
      <c r="CE62" s="115"/>
      <c r="CF62" s="115"/>
      <c r="CG62" s="115"/>
      <c r="CH62" s="115"/>
      <c r="CI62" s="115"/>
      <c r="CJ62" s="115"/>
      <c r="CK62" s="115"/>
      <c r="CL62" s="115"/>
      <c r="CM62" s="115"/>
      <c r="CN62" s="115"/>
      <c r="CO62" s="115"/>
      <c r="CP62" s="115"/>
      <c r="CQ62" s="115"/>
      <c r="CR62" s="115"/>
      <c r="CS62" s="115"/>
      <c r="CT62" s="115"/>
      <c r="CU62" s="115"/>
      <c r="CV62" s="115"/>
      <c r="EL62" s="115"/>
      <c r="EM62" s="115"/>
      <c r="EN62" s="115"/>
      <c r="EO62" s="115"/>
    </row>
    <row r="63" spans="1:145" s="2" customFormat="1" ht="15.75" x14ac:dyDescent="0.25">
      <c r="A63" s="13"/>
      <c r="B63" s="150"/>
      <c r="C63" s="206"/>
      <c r="D63" s="150"/>
      <c r="F63" s="150" t="s">
        <v>286</v>
      </c>
      <c r="G63" s="130">
        <v>1.531245E-2</v>
      </c>
      <c r="H63" s="210">
        <v>1</v>
      </c>
      <c r="I63" s="187">
        <f t="shared" si="194"/>
        <v>5.6317512274959076E-2</v>
      </c>
      <c r="J63" s="255">
        <v>1.531245E-2</v>
      </c>
      <c r="K63" s="186">
        <f t="shared" si="208"/>
        <v>1.3865824098913836E-2</v>
      </c>
      <c r="L63" s="152">
        <f t="shared" si="195"/>
        <v>4.0700210966575015E-2</v>
      </c>
      <c r="N63" s="235"/>
      <c r="O63" s="179"/>
      <c r="P63" s="179"/>
      <c r="Q63" s="179"/>
      <c r="R63" s="236"/>
      <c r="AP63" s="250">
        <f t="shared" si="196"/>
        <v>0</v>
      </c>
      <c r="AQ63" s="126">
        <f t="shared" si="197"/>
        <v>1.531245E-2</v>
      </c>
      <c r="AR63" s="126">
        <f t="shared" si="198"/>
        <v>5.6317512274959076E-2</v>
      </c>
      <c r="AV63" s="130">
        <f t="shared" si="199"/>
        <v>1.531245E-2</v>
      </c>
      <c r="AW63" s="169">
        <f t="shared" si="200"/>
        <v>0</v>
      </c>
      <c r="AX63" s="2">
        <f t="shared" si="201"/>
        <v>0</v>
      </c>
      <c r="AY63" s="126">
        <f t="shared" si="202"/>
        <v>1.531245E-2</v>
      </c>
      <c r="AZ63" s="126">
        <f t="shared" si="203"/>
        <v>1.3618404309467255E-2</v>
      </c>
      <c r="BA63" s="2">
        <f t="shared" si="204"/>
        <v>1</v>
      </c>
      <c r="BB63" s="126">
        <f t="shared" si="205"/>
        <v>0</v>
      </c>
      <c r="BC63" s="126">
        <f t="shared" si="206"/>
        <v>1.3865824098913836E-2</v>
      </c>
      <c r="BD63" s="251">
        <f t="shared" si="207"/>
        <v>4.0700210966575015E-2</v>
      </c>
      <c r="BF63" s="115"/>
      <c r="BG63" s="115"/>
      <c r="BH63" s="115"/>
      <c r="BI63" s="115"/>
      <c r="BJ63" s="115"/>
      <c r="BK63" s="115"/>
      <c r="BL63" s="115"/>
      <c r="BM63" s="115"/>
      <c r="BN63" s="115"/>
      <c r="BO63" s="115"/>
      <c r="BP63" s="115"/>
      <c r="BQ63" s="115"/>
      <c r="BR63" s="115"/>
      <c r="BS63" s="115"/>
      <c r="BT63" s="115"/>
      <c r="BU63" s="115"/>
      <c r="BV63" s="115"/>
      <c r="BW63" s="115"/>
      <c r="BX63" s="115"/>
      <c r="BY63" s="115"/>
      <c r="BZ63" s="115"/>
      <c r="CA63" s="115"/>
      <c r="CB63" s="115"/>
      <c r="CC63" s="115"/>
      <c r="CD63" s="115"/>
      <c r="CE63" s="115"/>
      <c r="CF63" s="115"/>
      <c r="CG63" s="115"/>
      <c r="CH63" s="115"/>
      <c r="CI63" s="115"/>
      <c r="CJ63" s="115"/>
      <c r="CK63" s="115"/>
      <c r="CL63" s="115"/>
      <c r="CM63" s="115"/>
      <c r="CN63" s="115"/>
      <c r="CO63" s="115"/>
      <c r="CP63" s="115"/>
      <c r="CQ63" s="115"/>
      <c r="CR63" s="115"/>
      <c r="CS63" s="115"/>
      <c r="CT63" s="115"/>
      <c r="CU63" s="115"/>
      <c r="CV63" s="115"/>
      <c r="EL63" s="115"/>
      <c r="EM63" s="115"/>
      <c r="EN63" s="115"/>
      <c r="EO63" s="115"/>
    </row>
    <row r="64" spans="1:145" s="2" customFormat="1" ht="15.75" x14ac:dyDescent="0.25">
      <c r="A64" s="13"/>
      <c r="B64" s="150"/>
      <c r="C64" s="206"/>
      <c r="D64" s="150"/>
      <c r="F64" s="150" t="s">
        <v>287</v>
      </c>
      <c r="G64" s="130">
        <v>3.6004950000000001E-2</v>
      </c>
      <c r="H64" s="210"/>
      <c r="I64" s="187">
        <f t="shared" si="194"/>
        <v>0</v>
      </c>
      <c r="J64" s="255">
        <v>3.6004950000000001E-2</v>
      </c>
      <c r="K64" s="186">
        <f t="shared" si="208"/>
        <v>3.2603424232581182E-2</v>
      </c>
      <c r="L64" s="152">
        <f t="shared" si="195"/>
        <v>0</v>
      </c>
      <c r="N64" s="235"/>
      <c r="O64" s="179"/>
      <c r="P64" s="179"/>
      <c r="Q64" s="179"/>
      <c r="R64" s="236"/>
      <c r="AP64" s="250">
        <f t="shared" si="196"/>
        <v>3.6004950000000001E-2</v>
      </c>
      <c r="AQ64" s="126">
        <f t="shared" si="197"/>
        <v>0</v>
      </c>
      <c r="AR64" s="126">
        <f t="shared" si="198"/>
        <v>0.13242225859247134</v>
      </c>
      <c r="AV64" s="130">
        <f t="shared" si="199"/>
        <v>3.6004950000000001E-2</v>
      </c>
      <c r="AW64" s="169">
        <f t="shared" si="200"/>
        <v>0</v>
      </c>
      <c r="AX64" s="2">
        <f t="shared" si="201"/>
        <v>0</v>
      </c>
      <c r="AY64" s="126">
        <f t="shared" si="202"/>
        <v>3.6004950000000001E-2</v>
      </c>
      <c r="AZ64" s="126">
        <f t="shared" si="203"/>
        <v>3.20216533763149E-2</v>
      </c>
      <c r="BA64" s="2">
        <f t="shared" si="204"/>
        <v>0</v>
      </c>
      <c r="BB64" s="126">
        <f t="shared" si="205"/>
        <v>3.2603424232581182E-2</v>
      </c>
      <c r="BC64" s="126">
        <f t="shared" si="206"/>
        <v>0</v>
      </c>
      <c r="BD64" s="251">
        <f t="shared" si="207"/>
        <v>9.5700496056541254E-2</v>
      </c>
      <c r="BF64" s="115"/>
      <c r="BG64" s="115"/>
      <c r="BH64" s="115"/>
      <c r="BI64" s="115"/>
      <c r="BJ64" s="115"/>
      <c r="BK64" s="115"/>
      <c r="BL64" s="115"/>
      <c r="BM64" s="115"/>
      <c r="BN64" s="115"/>
      <c r="BO64" s="115"/>
      <c r="BP64" s="115"/>
      <c r="BQ64" s="115"/>
      <c r="BR64" s="115"/>
      <c r="BS64" s="115"/>
      <c r="BT64" s="115"/>
      <c r="BU64" s="115"/>
      <c r="BV64" s="115"/>
      <c r="BW64" s="115"/>
      <c r="BX64" s="115"/>
      <c r="BY64" s="115"/>
      <c r="BZ64" s="115"/>
      <c r="CA64" s="115"/>
      <c r="CB64" s="115"/>
      <c r="CC64" s="115"/>
      <c r="CD64" s="115"/>
      <c r="CE64" s="115"/>
      <c r="CF64" s="115"/>
      <c r="CG64" s="115"/>
      <c r="CH64" s="115"/>
      <c r="CI64" s="115"/>
      <c r="CJ64" s="115"/>
      <c r="CK64" s="115"/>
      <c r="CL64" s="115"/>
      <c r="CM64" s="115"/>
      <c r="CN64" s="115"/>
      <c r="CO64" s="115"/>
      <c r="CP64" s="115"/>
      <c r="CQ64" s="115"/>
      <c r="CR64" s="115"/>
      <c r="CS64" s="115"/>
      <c r="CT64" s="115"/>
      <c r="CU64" s="115"/>
      <c r="CV64" s="115"/>
      <c r="EL64" s="115"/>
      <c r="EM64" s="115"/>
      <c r="EN64" s="115"/>
      <c r="EO64" s="115"/>
    </row>
    <row r="65" spans="1:145" s="2" customFormat="1" ht="15.75" x14ac:dyDescent="0.25">
      <c r="A65" s="13"/>
      <c r="B65" s="153"/>
      <c r="C65" s="206"/>
      <c r="D65" s="153"/>
      <c r="F65" s="153" t="s">
        <v>288</v>
      </c>
      <c r="G65" s="131">
        <v>1.6964130000000001E-2</v>
      </c>
      <c r="H65" s="211"/>
      <c r="I65" s="188">
        <f t="shared" si="194"/>
        <v>0</v>
      </c>
      <c r="J65" s="255">
        <v>1.6964130000000001E-2</v>
      </c>
      <c r="K65" s="186">
        <f t="shared" si="208"/>
        <v>1.5361463552279825E-2</v>
      </c>
      <c r="L65" s="154">
        <f t="shared" si="195"/>
        <v>0</v>
      </c>
      <c r="N65" s="238"/>
      <c r="O65" s="179"/>
      <c r="P65" s="179"/>
      <c r="Q65" s="179"/>
      <c r="R65" s="236"/>
      <c r="AP65" s="250">
        <f t="shared" si="196"/>
        <v>1.6964130000000001E-2</v>
      </c>
      <c r="AQ65" s="126">
        <f t="shared" si="197"/>
        <v>0</v>
      </c>
      <c r="AR65" s="126">
        <f t="shared" si="198"/>
        <v>6.2392210228213091E-2</v>
      </c>
      <c r="AV65" s="131">
        <f t="shared" si="199"/>
        <v>1.6964130000000001E-2</v>
      </c>
      <c r="AW65" s="170">
        <f t="shared" si="200"/>
        <v>0</v>
      </c>
      <c r="AX65" s="2">
        <f t="shared" si="201"/>
        <v>0</v>
      </c>
      <c r="AY65" s="126">
        <f t="shared" si="202"/>
        <v>1.6964130000000001E-2</v>
      </c>
      <c r="AZ65" s="126">
        <f t="shared" si="203"/>
        <v>1.5087355785544623E-2</v>
      </c>
      <c r="BA65" s="2">
        <f t="shared" si="204"/>
        <v>0</v>
      </c>
      <c r="BB65" s="126">
        <f t="shared" si="205"/>
        <v>1.5361463552279825E-2</v>
      </c>
      <c r="BC65" s="126">
        <f t="shared" si="206"/>
        <v>0</v>
      </c>
      <c r="BD65" s="251">
        <f t="shared" si="207"/>
        <v>4.5090346082070756E-2</v>
      </c>
      <c r="BF65" s="115"/>
      <c r="BG65" s="115"/>
      <c r="BH65" s="115"/>
      <c r="BI65" s="115"/>
      <c r="BJ65" s="115"/>
      <c r="BK65" s="115"/>
      <c r="BL65" s="115"/>
      <c r="BM65" s="115"/>
      <c r="BN65" s="115"/>
      <c r="BO65" s="115"/>
      <c r="BP65" s="115"/>
      <c r="BQ65" s="115"/>
      <c r="BR65" s="115"/>
      <c r="BS65" s="115"/>
      <c r="BT65" s="115"/>
      <c r="BU65" s="115"/>
      <c r="BV65" s="115"/>
      <c r="BW65" s="115"/>
      <c r="BX65" s="115"/>
      <c r="BY65" s="115"/>
      <c r="BZ65" s="115"/>
      <c r="CA65" s="115"/>
      <c r="CB65" s="115"/>
      <c r="CC65" s="115"/>
      <c r="CD65" s="115"/>
      <c r="CE65" s="115"/>
      <c r="CF65" s="115"/>
      <c r="CG65" s="115"/>
      <c r="CH65" s="115"/>
      <c r="CI65" s="115"/>
      <c r="CJ65" s="115"/>
      <c r="CK65" s="115"/>
      <c r="CL65" s="115"/>
      <c r="CM65" s="115"/>
      <c r="CN65" s="115"/>
      <c r="CO65" s="115"/>
      <c r="CP65" s="115"/>
      <c r="CQ65" s="115"/>
      <c r="CR65" s="115"/>
      <c r="CS65" s="115"/>
      <c r="CT65" s="115"/>
      <c r="CU65" s="115"/>
      <c r="CV65" s="115"/>
      <c r="EL65" s="115"/>
      <c r="EM65" s="115"/>
      <c r="EN65" s="115"/>
      <c r="EO65" s="115"/>
    </row>
    <row r="66" spans="1:145" s="2" customFormat="1" ht="15.75" x14ac:dyDescent="0.25">
      <c r="A66" s="13"/>
      <c r="B66" s="153"/>
      <c r="C66" s="206"/>
      <c r="D66" s="153"/>
      <c r="F66" s="153" t="s">
        <v>260</v>
      </c>
      <c r="G66" s="131">
        <v>1.7841585000000004E-2</v>
      </c>
      <c r="H66" s="211"/>
      <c r="I66" s="188">
        <f t="shared" si="194"/>
        <v>0</v>
      </c>
      <c r="J66" s="255">
        <v>1.7841585000000004E-2</v>
      </c>
      <c r="K66" s="186">
        <f t="shared" si="208"/>
        <v>1.6156022011880506E-2</v>
      </c>
      <c r="L66" s="154">
        <f t="shared" si="195"/>
        <v>0</v>
      </c>
      <c r="N66" s="238"/>
      <c r="O66" s="179"/>
      <c r="P66" s="179"/>
      <c r="Q66" s="179"/>
      <c r="R66" s="236"/>
      <c r="AP66" s="250">
        <f t="shared" si="196"/>
        <v>1.7841585000000004E-2</v>
      </c>
      <c r="AQ66" s="126">
        <f t="shared" si="197"/>
        <v>0</v>
      </c>
      <c r="AR66" s="126">
        <f t="shared" si="198"/>
        <v>6.5619393515879296E-2</v>
      </c>
      <c r="AV66" s="131">
        <f t="shared" si="199"/>
        <v>1.7841585000000004E-2</v>
      </c>
      <c r="AW66" s="170">
        <f t="shared" si="200"/>
        <v>0</v>
      </c>
      <c r="AX66" s="2">
        <f t="shared" si="201"/>
        <v>0</v>
      </c>
      <c r="AY66" s="126">
        <f t="shared" si="202"/>
        <v>1.7841585000000004E-2</v>
      </c>
      <c r="AZ66" s="126">
        <f t="shared" si="203"/>
        <v>1.5867736257210725E-2</v>
      </c>
      <c r="BA66" s="2">
        <f t="shared" si="204"/>
        <v>0</v>
      </c>
      <c r="BB66" s="126">
        <f t="shared" si="205"/>
        <v>1.6156022011880506E-2</v>
      </c>
      <c r="BC66" s="126">
        <f t="shared" si="206"/>
        <v>0</v>
      </c>
      <c r="BD66" s="251">
        <f t="shared" si="207"/>
        <v>4.7422605362177864E-2</v>
      </c>
      <c r="BF66" s="115"/>
      <c r="BG66" s="115"/>
      <c r="BH66" s="115"/>
      <c r="BI66" s="115"/>
      <c r="BJ66" s="115"/>
      <c r="BK66" s="115"/>
      <c r="BL66" s="115"/>
      <c r="BM66" s="115"/>
      <c r="BN66" s="115"/>
      <c r="BO66" s="115"/>
      <c r="BP66" s="115"/>
      <c r="BQ66" s="115"/>
      <c r="BR66" s="115"/>
      <c r="BS66" s="115"/>
      <c r="BT66" s="115"/>
      <c r="BU66" s="115"/>
      <c r="BV66" s="115"/>
      <c r="BW66" s="115"/>
      <c r="BX66" s="115"/>
      <c r="BY66" s="115"/>
      <c r="BZ66" s="115"/>
      <c r="CA66" s="115"/>
      <c r="CB66" s="115"/>
      <c r="CC66" s="115"/>
      <c r="CD66" s="115"/>
      <c r="CE66" s="115"/>
      <c r="CF66" s="115"/>
      <c r="CG66" s="115"/>
      <c r="CH66" s="115"/>
      <c r="CI66" s="115"/>
      <c r="CJ66" s="115"/>
      <c r="CK66" s="115"/>
      <c r="CL66" s="115"/>
      <c r="CM66" s="115"/>
      <c r="CN66" s="115"/>
      <c r="CO66" s="115"/>
      <c r="CP66" s="115"/>
      <c r="CQ66" s="115"/>
      <c r="CR66" s="115"/>
      <c r="CS66" s="115"/>
      <c r="CT66" s="115"/>
      <c r="CU66" s="115"/>
      <c r="CV66" s="115"/>
      <c r="EL66" s="115"/>
      <c r="EM66" s="115"/>
      <c r="EN66" s="115"/>
      <c r="EO66" s="115"/>
    </row>
    <row r="67" spans="1:145" s="2" customFormat="1" ht="15.75" x14ac:dyDescent="0.25">
      <c r="A67" s="13"/>
      <c r="B67" s="155"/>
      <c r="C67" s="206"/>
      <c r="D67" s="155"/>
      <c r="F67" s="155" t="s">
        <v>289</v>
      </c>
      <c r="G67" s="132">
        <v>2.3691285000000003E-2</v>
      </c>
      <c r="H67" s="212"/>
      <c r="I67" s="187">
        <f t="shared" si="194"/>
        <v>0</v>
      </c>
      <c r="J67" s="255">
        <v>2.3691285000000003E-2</v>
      </c>
      <c r="K67" s="186">
        <f t="shared" si="208"/>
        <v>2.1453078409218375E-2</v>
      </c>
      <c r="L67" s="152">
        <f t="shared" si="195"/>
        <v>0</v>
      </c>
      <c r="N67" s="238"/>
      <c r="O67" s="179"/>
      <c r="P67" s="179"/>
      <c r="Q67" s="179"/>
      <c r="R67" s="236"/>
      <c r="AP67" s="250">
        <f t="shared" si="196"/>
        <v>2.3691285000000003E-2</v>
      </c>
      <c r="AQ67" s="126">
        <f t="shared" si="197"/>
        <v>0</v>
      </c>
      <c r="AR67" s="126">
        <f t="shared" si="198"/>
        <v>8.7133948766987254E-2</v>
      </c>
      <c r="AV67" s="132">
        <f t="shared" si="199"/>
        <v>2.3691285000000003E-2</v>
      </c>
      <c r="AW67" s="171">
        <f t="shared" si="200"/>
        <v>0</v>
      </c>
      <c r="AX67" s="2">
        <f t="shared" si="201"/>
        <v>0</v>
      </c>
      <c r="AY67" s="126">
        <f t="shared" si="202"/>
        <v>2.3691285000000003E-2</v>
      </c>
      <c r="AZ67" s="126">
        <f t="shared" si="203"/>
        <v>2.1070272734984734E-2</v>
      </c>
      <c r="BA67" s="2">
        <f t="shared" si="204"/>
        <v>0</v>
      </c>
      <c r="BB67" s="126">
        <f t="shared" si="205"/>
        <v>2.1453078409218375E-2</v>
      </c>
      <c r="BC67" s="126">
        <f t="shared" si="206"/>
        <v>0</v>
      </c>
      <c r="BD67" s="251">
        <f t="shared" si="207"/>
        <v>6.2971000562891913E-2</v>
      </c>
      <c r="BF67" s="115"/>
      <c r="BG67" s="115"/>
      <c r="BH67" s="115"/>
      <c r="BI67" s="115"/>
      <c r="BJ67" s="115"/>
      <c r="BK67" s="115"/>
      <c r="BL67" s="115"/>
      <c r="BM67" s="115"/>
      <c r="BN67" s="115"/>
      <c r="BO67" s="115"/>
      <c r="BP67" s="115"/>
      <c r="BQ67" s="115"/>
      <c r="BR67" s="115"/>
      <c r="BS67" s="115"/>
      <c r="BT67" s="115"/>
      <c r="BU67" s="115"/>
      <c r="BV67" s="115"/>
      <c r="BW67" s="115"/>
      <c r="BX67" s="115"/>
      <c r="BY67" s="115"/>
      <c r="BZ67" s="115"/>
      <c r="CA67" s="115"/>
      <c r="CB67" s="115"/>
      <c r="CC67" s="115"/>
      <c r="CD67" s="115"/>
      <c r="CE67" s="115"/>
      <c r="CF67" s="115"/>
      <c r="CG67" s="115"/>
      <c r="CH67" s="115"/>
      <c r="CI67" s="115"/>
      <c r="CJ67" s="115"/>
      <c r="CK67" s="115"/>
      <c r="CL67" s="115"/>
      <c r="CM67" s="115"/>
      <c r="CN67" s="115"/>
      <c r="CO67" s="115"/>
      <c r="CP67" s="115"/>
      <c r="CQ67" s="115"/>
      <c r="CR67" s="115"/>
      <c r="CS67" s="115"/>
      <c r="CT67" s="115"/>
      <c r="CU67" s="115"/>
      <c r="CV67" s="115"/>
      <c r="EL67" s="115"/>
      <c r="EM67" s="115"/>
      <c r="EN67" s="115"/>
      <c r="EO67" s="115"/>
    </row>
    <row r="68" spans="1:145" s="2" customFormat="1" ht="15.75" x14ac:dyDescent="0.25">
      <c r="A68" s="13"/>
      <c r="B68" s="155"/>
      <c r="C68" s="206"/>
      <c r="D68" s="155"/>
      <c r="F68" s="155" t="s">
        <v>290</v>
      </c>
      <c r="G68" s="132">
        <v>3.2534655000000003E-2</v>
      </c>
      <c r="H68" s="212"/>
      <c r="I68" s="187">
        <f t="shared" si="194"/>
        <v>0</v>
      </c>
      <c r="J68" s="255">
        <v>3.2534655000000003E-2</v>
      </c>
      <c r="K68" s="186">
        <f t="shared" si="208"/>
        <v>2.9460981315782099E-2</v>
      </c>
      <c r="L68" s="152">
        <f t="shared" si="195"/>
        <v>0</v>
      </c>
      <c r="N68" s="238"/>
      <c r="O68" s="179"/>
      <c r="P68" s="179"/>
      <c r="Q68" s="179"/>
      <c r="R68" s="236"/>
      <c r="AP68" s="250">
        <f t="shared" si="196"/>
        <v>3.2534655000000003E-2</v>
      </c>
      <c r="AQ68" s="126">
        <f t="shared" si="197"/>
        <v>0</v>
      </c>
      <c r="AR68" s="126">
        <f t="shared" si="198"/>
        <v>0.1196588940583681</v>
      </c>
      <c r="AV68" s="132">
        <f t="shared" si="199"/>
        <v>3.2534655000000003E-2</v>
      </c>
      <c r="AW68" s="171">
        <f t="shared" si="200"/>
        <v>0</v>
      </c>
      <c r="AX68" s="2">
        <f t="shared" si="201"/>
        <v>0</v>
      </c>
      <c r="AY68" s="126">
        <f t="shared" si="202"/>
        <v>3.2534655000000003E-2</v>
      </c>
      <c r="AZ68" s="126">
        <f t="shared" si="203"/>
        <v>2.8935283763148967E-2</v>
      </c>
      <c r="BA68" s="2">
        <f t="shared" si="204"/>
        <v>0</v>
      </c>
      <c r="BB68" s="126">
        <f t="shared" si="205"/>
        <v>2.9460981315782099E-2</v>
      </c>
      <c r="BC68" s="126">
        <f t="shared" si="206"/>
        <v>0</v>
      </c>
      <c r="BD68" s="251">
        <f t="shared" si="207"/>
        <v>8.6476515660441983E-2</v>
      </c>
      <c r="BF68" s="115"/>
      <c r="BG68" s="115"/>
      <c r="BH68" s="115"/>
      <c r="BI68" s="115"/>
      <c r="BJ68" s="115"/>
      <c r="BK68" s="115"/>
      <c r="BL68" s="115"/>
      <c r="BM68" s="115"/>
      <c r="BN68" s="115"/>
      <c r="BO68" s="115"/>
      <c r="BP68" s="115"/>
      <c r="BQ68" s="115"/>
      <c r="BR68" s="115"/>
      <c r="BS68" s="115"/>
      <c r="BT68" s="115"/>
      <c r="BU68" s="115"/>
      <c r="BV68" s="115"/>
      <c r="BW68" s="115"/>
      <c r="BX68" s="115"/>
      <c r="BY68" s="115"/>
      <c r="BZ68" s="115"/>
      <c r="CA68" s="115"/>
      <c r="CB68" s="115"/>
      <c r="CC68" s="115"/>
      <c r="CD68" s="115"/>
      <c r="CE68" s="115"/>
      <c r="CF68" s="115"/>
      <c r="CG68" s="115"/>
      <c r="CH68" s="115"/>
      <c r="CI68" s="115"/>
      <c r="CJ68" s="115"/>
      <c r="CK68" s="115"/>
      <c r="CL68" s="115"/>
      <c r="CM68" s="115"/>
      <c r="CN68" s="115"/>
      <c r="CO68" s="115"/>
      <c r="CP68" s="115"/>
      <c r="CQ68" s="115"/>
      <c r="CR68" s="115"/>
      <c r="CS68" s="115"/>
      <c r="CT68" s="115"/>
      <c r="CU68" s="115"/>
      <c r="CV68" s="115"/>
      <c r="EL68" s="115"/>
      <c r="EM68" s="115"/>
      <c r="EN68" s="115"/>
      <c r="EO68" s="115"/>
    </row>
    <row r="69" spans="1:145" s="2" customFormat="1" ht="15.75" x14ac:dyDescent="0.25">
      <c r="A69" s="13"/>
      <c r="B69" s="155"/>
      <c r="C69" s="206"/>
      <c r="D69" s="155"/>
      <c r="F69" s="155" t="s">
        <v>291</v>
      </c>
      <c r="G69" s="132">
        <v>1.9940595000000002E-2</v>
      </c>
      <c r="H69" s="212"/>
      <c r="I69" s="187">
        <f t="shared" si="194"/>
        <v>0</v>
      </c>
      <c r="J69" s="255">
        <v>1.9940595000000002E-2</v>
      </c>
      <c r="K69" s="186">
        <f t="shared" si="208"/>
        <v>1.8056730483866447E-2</v>
      </c>
      <c r="L69" s="152">
        <f t="shared" si="195"/>
        <v>0</v>
      </c>
      <c r="N69" s="238"/>
      <c r="O69" s="179"/>
      <c r="P69" s="179"/>
      <c r="Q69" s="179"/>
      <c r="R69" s="236"/>
      <c r="AP69" s="250">
        <f t="shared" si="196"/>
        <v>1.9940595000000002E-2</v>
      </c>
      <c r="AQ69" s="126">
        <f t="shared" si="197"/>
        <v>0</v>
      </c>
      <c r="AR69" s="126">
        <f t="shared" si="198"/>
        <v>7.3339322164806264E-2</v>
      </c>
      <c r="AV69" s="132">
        <f t="shared" si="199"/>
        <v>1.9940595000000002E-2</v>
      </c>
      <c r="AW69" s="171">
        <f t="shared" si="200"/>
        <v>0</v>
      </c>
      <c r="AX69" s="2">
        <f t="shared" si="201"/>
        <v>0</v>
      </c>
      <c r="AY69" s="126">
        <f t="shared" si="202"/>
        <v>1.9940595000000002E-2</v>
      </c>
      <c r="AZ69" s="126">
        <f t="shared" si="203"/>
        <v>1.7734528758059045E-2</v>
      </c>
      <c r="BA69" s="2">
        <f t="shared" si="204"/>
        <v>0</v>
      </c>
      <c r="BB69" s="126">
        <f t="shared" si="205"/>
        <v>1.8056730483866447E-2</v>
      </c>
      <c r="BC69" s="126">
        <f t="shared" si="206"/>
        <v>0</v>
      </c>
      <c r="BD69" s="251">
        <f t="shared" si="207"/>
        <v>5.3001735404787025E-2</v>
      </c>
      <c r="BF69" s="115"/>
      <c r="BG69" s="115"/>
      <c r="BH69" s="115"/>
      <c r="BI69" s="115"/>
      <c r="BJ69" s="115"/>
      <c r="BK69" s="115"/>
      <c r="BL69" s="115"/>
      <c r="BM69" s="115"/>
      <c r="BN69" s="115"/>
      <c r="BO69" s="115"/>
      <c r="BP69" s="115"/>
      <c r="BQ69" s="115"/>
      <c r="BR69" s="115"/>
      <c r="BS69" s="115"/>
      <c r="BT69" s="115"/>
      <c r="BU69" s="115"/>
      <c r="BV69" s="115"/>
      <c r="BW69" s="115"/>
      <c r="BX69" s="115"/>
      <c r="BY69" s="115"/>
      <c r="BZ69" s="115"/>
      <c r="CA69" s="115"/>
      <c r="CB69" s="115"/>
      <c r="CC69" s="115"/>
      <c r="CD69" s="115"/>
      <c r="CE69" s="115"/>
      <c r="CF69" s="115"/>
      <c r="CG69" s="115"/>
      <c r="CH69" s="115"/>
      <c r="CI69" s="115"/>
      <c r="CJ69" s="115"/>
      <c r="CK69" s="115"/>
      <c r="CL69" s="115"/>
      <c r="CM69" s="115"/>
      <c r="CN69" s="115"/>
      <c r="CO69" s="115"/>
      <c r="CP69" s="115"/>
      <c r="CQ69" s="115"/>
      <c r="CR69" s="115"/>
      <c r="CS69" s="115"/>
      <c r="CT69" s="115"/>
      <c r="CU69" s="115"/>
      <c r="CV69" s="115"/>
      <c r="EL69" s="115"/>
      <c r="EM69" s="115"/>
      <c r="EN69" s="115"/>
      <c r="EO69" s="115"/>
    </row>
    <row r="70" spans="1:145" s="2" customFormat="1" ht="15.75" x14ac:dyDescent="0.25">
      <c r="A70" s="13"/>
      <c r="B70" s="150"/>
      <c r="C70" s="206"/>
      <c r="D70" s="150"/>
      <c r="F70" s="150" t="s">
        <v>292</v>
      </c>
      <c r="G70" s="130">
        <v>6.107775E-2</v>
      </c>
      <c r="H70" s="213"/>
      <c r="I70" s="186">
        <f t="shared" si="194"/>
        <v>0</v>
      </c>
      <c r="J70" s="255">
        <v>6.107775E-2</v>
      </c>
      <c r="K70" s="186">
        <f t="shared" si="208"/>
        <v>5.5307500619263053E-2</v>
      </c>
      <c r="L70" s="151">
        <f t="shared" si="195"/>
        <v>0</v>
      </c>
      <c r="N70" s="238"/>
      <c r="O70" s="179"/>
      <c r="P70" s="179"/>
      <c r="Q70" s="179"/>
      <c r="R70" s="236"/>
      <c r="AP70" s="250">
        <f t="shared" si="196"/>
        <v>6.107775E-2</v>
      </c>
      <c r="AQ70" s="126">
        <f t="shared" si="197"/>
        <v>0</v>
      </c>
      <c r="AR70" s="126">
        <f t="shared" si="198"/>
        <v>0.22463726806303902</v>
      </c>
      <c r="AV70" s="130">
        <f t="shared" si="199"/>
        <v>6.107775E-2</v>
      </c>
      <c r="AW70" s="172">
        <f t="shared" si="200"/>
        <v>0</v>
      </c>
      <c r="AX70" s="2">
        <f t="shared" si="201"/>
        <v>0</v>
      </c>
      <c r="AY70" s="126">
        <f t="shared" si="202"/>
        <v>6.107775E-2</v>
      </c>
      <c r="AZ70" s="126">
        <f t="shared" si="203"/>
        <v>5.4320601459110961E-2</v>
      </c>
      <c r="BA70" s="2">
        <f t="shared" si="204"/>
        <v>0</v>
      </c>
      <c r="BB70" s="126">
        <f t="shared" si="205"/>
        <v>5.5307500619263053E-2</v>
      </c>
      <c r="BC70" s="126">
        <f t="shared" si="206"/>
        <v>0</v>
      </c>
      <c r="BD70" s="251">
        <f t="shared" si="207"/>
        <v>0.1623435381251026</v>
      </c>
      <c r="BF70" s="115"/>
      <c r="BG70" s="115"/>
      <c r="BH70" s="115"/>
      <c r="BI70" s="115"/>
      <c r="BJ70" s="115"/>
      <c r="BK70" s="115"/>
      <c r="BL70" s="115"/>
      <c r="BM70" s="115"/>
      <c r="BN70" s="115"/>
      <c r="BO70" s="115"/>
      <c r="BP70" s="115"/>
      <c r="BQ70" s="115"/>
      <c r="BR70" s="115"/>
      <c r="BS70" s="115"/>
      <c r="BT70" s="115"/>
      <c r="BU70" s="115"/>
      <c r="BV70" s="115"/>
      <c r="BW70" s="115"/>
      <c r="BX70" s="115"/>
      <c r="BY70" s="115"/>
      <c r="BZ70" s="115"/>
      <c r="CA70" s="115"/>
      <c r="CB70" s="115"/>
      <c r="CC70" s="115"/>
      <c r="CD70" s="115"/>
      <c r="CE70" s="115"/>
      <c r="CF70" s="115"/>
      <c r="CG70" s="115"/>
      <c r="CH70" s="115"/>
      <c r="CI70" s="115"/>
      <c r="CJ70" s="115"/>
      <c r="CK70" s="115"/>
      <c r="CL70" s="115"/>
      <c r="CM70" s="115"/>
      <c r="CN70" s="115"/>
      <c r="CO70" s="115"/>
      <c r="CP70" s="115"/>
      <c r="CQ70" s="115"/>
      <c r="CR70" s="115"/>
      <c r="CS70" s="115"/>
      <c r="CT70" s="115"/>
      <c r="CU70" s="115"/>
      <c r="CV70" s="115"/>
      <c r="EL70" s="115"/>
      <c r="EM70" s="115"/>
      <c r="EN70" s="115"/>
      <c r="EO70" s="115"/>
    </row>
    <row r="71" spans="1:145" s="121" customFormat="1" ht="15.75" x14ac:dyDescent="0.25">
      <c r="A71" s="124"/>
      <c r="B71" s="191"/>
      <c r="C71" s="206"/>
      <c r="D71" s="191"/>
      <c r="F71" s="191" t="s">
        <v>314</v>
      </c>
      <c r="G71" s="189"/>
      <c r="H71" s="189">
        <f>AP71/AQ71</f>
        <v>2.6778903620883057</v>
      </c>
      <c r="I71" s="190">
        <f>SUM(I59:I70)</f>
        <v>0.30999999999999994</v>
      </c>
      <c r="J71" s="199"/>
      <c r="K71" s="190">
        <f>SUM(K59:K70)</f>
        <v>0.31</v>
      </c>
      <c r="L71" s="192">
        <f>SUM(L59:L70)</f>
        <v>0.31</v>
      </c>
      <c r="N71" s="240"/>
      <c r="O71" s="222" t="s">
        <v>353</v>
      </c>
      <c r="P71" s="223"/>
      <c r="Q71" s="223" t="e">
        <f>SUM(Q59:Q70)</f>
        <v>#N/A</v>
      </c>
      <c r="R71" s="224" t="e">
        <f>SUM(R59:R70)</f>
        <v>#N/A</v>
      </c>
      <c r="AP71" s="191">
        <f>SUM(AP59:AP70)</f>
        <v>0.22571255000000001</v>
      </c>
      <c r="AQ71" s="189">
        <f>SUM(AQ59:AQ70)</f>
        <v>8.4287450000000014E-2</v>
      </c>
      <c r="AR71" s="189"/>
      <c r="AV71" s="189"/>
      <c r="AW71" s="241">
        <f>(AX71/AY71)</f>
        <v>-0.11063191654717208</v>
      </c>
      <c r="AX71" s="121">
        <f>SUM(AX59:AX70)</f>
        <v>-3.23424E-2</v>
      </c>
      <c r="AY71" s="241">
        <f>SUM(AY59:AY70)</f>
        <v>0.2923424</v>
      </c>
      <c r="AZ71" s="189"/>
      <c r="BA71" s="189">
        <f>BB71/BC71</f>
        <v>1.9352897221423155</v>
      </c>
      <c r="BB71" s="189">
        <f>SUM(BB59:BB70)</f>
        <v>0.20438861940560094</v>
      </c>
      <c r="BC71" s="189">
        <f>SUM(BC59:BC70)</f>
        <v>0.10561138059439908</v>
      </c>
      <c r="BD71" s="252"/>
      <c r="BF71" s="111"/>
      <c r="BG71" s="111"/>
      <c r="BH71" s="111"/>
      <c r="BI71" s="111"/>
      <c r="BJ71" s="111"/>
      <c r="BK71" s="111"/>
      <c r="BL71" s="111"/>
      <c r="BM71" s="111"/>
      <c r="BN71" s="111"/>
      <c r="BO71" s="111"/>
      <c r="BP71" s="111"/>
      <c r="BQ71" s="111"/>
      <c r="BR71" s="111"/>
      <c r="BS71" s="111"/>
      <c r="BT71" s="111"/>
      <c r="BU71" s="111"/>
      <c r="BV71" s="111"/>
      <c r="BW71" s="111"/>
      <c r="BX71" s="111"/>
      <c r="BY71" s="111"/>
      <c r="BZ71" s="111"/>
      <c r="CA71" s="111"/>
      <c r="CB71" s="111"/>
      <c r="CC71" s="111"/>
      <c r="CD71" s="111"/>
      <c r="CE71" s="111"/>
      <c r="CF71" s="111"/>
      <c r="CG71" s="111"/>
      <c r="CH71" s="111"/>
      <c r="CI71" s="111"/>
      <c r="CJ71" s="111"/>
      <c r="CK71" s="111"/>
      <c r="CL71" s="111"/>
      <c r="CM71" s="111"/>
      <c r="CN71" s="111"/>
      <c r="CO71" s="111"/>
      <c r="CP71" s="111"/>
      <c r="CQ71" s="111"/>
      <c r="CR71" s="111"/>
      <c r="CS71" s="111"/>
      <c r="CT71" s="111"/>
      <c r="CU71" s="111"/>
      <c r="CV71" s="111"/>
      <c r="EL71" s="111"/>
      <c r="EM71" s="111"/>
      <c r="EN71" s="111"/>
      <c r="EO71" s="111"/>
    </row>
    <row r="72" spans="1:145" s="2" customFormat="1" ht="24" thickBot="1" x14ac:dyDescent="0.4">
      <c r="A72" s="13"/>
      <c r="B72" s="193"/>
      <c r="C72" s="207"/>
      <c r="D72" s="193"/>
      <c r="F72" s="193" t="s">
        <v>378</v>
      </c>
      <c r="G72" s="194">
        <f>SUM(G38:G44,G46:G57,G59:G70)</f>
        <v>1.0000000000000002</v>
      </c>
      <c r="H72" s="195"/>
      <c r="I72" s="194">
        <f>SUM(I38:I44,I46:I57,I59:I70)</f>
        <v>0.99999999999999989</v>
      </c>
      <c r="J72" s="195"/>
      <c r="K72" s="194">
        <f>SUM(K38:K44,K46:K57,K59:K70)</f>
        <v>1.0000000000000002</v>
      </c>
      <c r="L72" s="197"/>
      <c r="N72" s="214" t="s">
        <v>352</v>
      </c>
      <c r="O72" s="215"/>
      <c r="P72" s="215"/>
      <c r="Q72" s="216" t="e">
        <f>Q45+Q58+Q71</f>
        <v>#DIV/0!</v>
      </c>
      <c r="R72" s="217" t="e">
        <f>R45+R58+R71</f>
        <v>#DIV/0!</v>
      </c>
      <c r="AP72" s="198"/>
      <c r="AQ72" s="196"/>
      <c r="AR72" s="196"/>
      <c r="AS72" s="196"/>
      <c r="AT72" s="196"/>
      <c r="AU72" s="196"/>
      <c r="AV72" s="196"/>
      <c r="AW72" s="196"/>
      <c r="AX72" s="253"/>
      <c r="AY72" s="196"/>
      <c r="AZ72" s="196"/>
      <c r="BA72" s="196"/>
      <c r="BB72" s="196"/>
      <c r="BC72" s="196"/>
      <c r="BD72" s="254"/>
      <c r="BF72" s="115"/>
      <c r="BG72" s="115"/>
      <c r="BH72" s="115"/>
      <c r="BI72" s="115"/>
      <c r="BJ72" s="115"/>
      <c r="BK72" s="115"/>
      <c r="BL72" s="115"/>
      <c r="BM72" s="115"/>
      <c r="BN72" s="115"/>
      <c r="BO72" s="115"/>
      <c r="BP72" s="115"/>
      <c r="BQ72" s="115"/>
      <c r="BR72" s="115"/>
      <c r="BS72" s="115"/>
      <c r="BT72" s="115"/>
      <c r="BU72" s="115"/>
      <c r="BV72" s="115"/>
      <c r="BW72" s="115"/>
      <c r="BX72" s="115"/>
      <c r="BY72" s="115"/>
      <c r="BZ72" s="115"/>
      <c r="CA72" s="115"/>
      <c r="CB72" s="115"/>
      <c r="CC72" s="115"/>
      <c r="CD72" s="115"/>
      <c r="CE72" s="115"/>
      <c r="CF72" s="115"/>
      <c r="CG72" s="115"/>
      <c r="CH72" s="115"/>
      <c r="CI72" s="115"/>
      <c r="CJ72" s="115"/>
      <c r="CK72" s="115"/>
      <c r="CL72" s="115"/>
      <c r="CM72" s="115"/>
      <c r="CN72" s="115"/>
      <c r="CO72" s="115"/>
      <c r="CP72" s="115"/>
      <c r="CQ72" s="115"/>
      <c r="CR72" s="115"/>
      <c r="CS72" s="115"/>
      <c r="CT72" s="115"/>
      <c r="CU72" s="115"/>
      <c r="CV72" s="115"/>
      <c r="EL72" s="115"/>
      <c r="EM72" s="115"/>
      <c r="EN72" s="115"/>
      <c r="EO72" s="115"/>
    </row>
    <row r="73" spans="1:145" x14ac:dyDescent="0.25">
      <c r="B73"/>
      <c r="C73" s="109"/>
      <c r="D73" s="109"/>
      <c r="E73" s="109"/>
      <c r="F73" s="109"/>
      <c r="AQ73" s="2"/>
      <c r="AR73" s="2"/>
      <c r="AS73" s="2"/>
      <c r="AT73" s="2"/>
      <c r="AU73" s="115"/>
    </row>
    <row r="74" spans="1:145" x14ac:dyDescent="0.25">
      <c r="B74"/>
      <c r="C74" s="109"/>
      <c r="D74" s="110"/>
      <c r="E74" s="110"/>
      <c r="F74" s="110"/>
    </row>
    <row r="75" spans="1:145" x14ac:dyDescent="0.25">
      <c r="B75"/>
      <c r="C75" s="109"/>
      <c r="D75" s="109"/>
      <c r="E75"/>
      <c r="F75"/>
    </row>
  </sheetData>
  <dataValidations count="9">
    <dataValidation type="list" allowBlank="1" showInputMessage="1" showErrorMessage="1" sqref="AQ4:AQ31" xr:uid="{00000000-0002-0000-0000-000000000000}">
      <formula1>Output</formula1>
    </dataValidation>
    <dataValidation type="list" allowBlank="1" showInputMessage="1" showErrorMessage="1" sqref="D32:E34" xr:uid="{00000000-0002-0000-0000-000001000000}">
      <formula1>Operation</formula1>
    </dataValidation>
    <dataValidation type="list" allowBlank="1" showInputMessage="1" showErrorMessage="1" sqref="F33:G34 F4:F31" xr:uid="{00000000-0002-0000-0000-000002000000}">
      <formula1>Field_operation</formula1>
    </dataValidation>
    <dataValidation type="list" allowBlank="1" showInputMessage="1" showErrorMessage="1" sqref="D4:D31" xr:uid="{00000000-0002-0000-0000-000003000000}">
      <formula1>Processes</formula1>
    </dataValidation>
    <dataValidation type="list" allowBlank="1" showInputMessage="1" showErrorMessage="1" sqref="E4:E31" xr:uid="{00000000-0002-0000-0000-000004000000}">
      <formula1>Maincrop</formula1>
    </dataValidation>
    <dataValidation type="list" allowBlank="1" showInputMessage="1" showErrorMessage="1" sqref="P4:P31" xr:uid="{00000000-0002-0000-0000-000005000000}">
      <formula1>InputNature</formula1>
    </dataValidation>
    <dataValidation type="list" allowBlank="1" showInputMessage="1" showErrorMessage="1" sqref="Q4:Q31" xr:uid="{00000000-0002-0000-0000-000006000000}">
      <formula1>Farm_input</formula1>
    </dataValidation>
    <dataValidation type="custom" showInputMessage="1" showErrorMessage="1" errorTitle="Ensure weight sum to 100%" error="The sum of weightages given to individual indicators is either more than 100% or less than 100%. " promptTitle="Sum of weight given to indicator" prompt="Weightages given to individual indicators must sum up to 100%" sqref="G72 I72 K72" xr:uid="{00000000-0002-0000-0000-000007000000}">
      <formula1>100%</formula1>
    </dataValidation>
    <dataValidation type="list" allowBlank="1" showInputMessage="1" showErrorMessage="1" sqref="G4:G31 C6" xr:uid="{00000000-0002-0000-0000-000008000000}">
      <formula1>Crop_name</formula1>
    </dataValidation>
  </dataValidation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Q75"/>
  <sheetViews>
    <sheetView topLeftCell="A37" zoomScale="70" zoomScaleNormal="70" workbookViewId="0">
      <selection activeCell="I23" sqref="I23"/>
    </sheetView>
  </sheetViews>
  <sheetFormatPr defaultColWidth="18.85546875" defaultRowHeight="15" x14ac:dyDescent="0.25"/>
  <cols>
    <col min="1" max="1" width="11.140625" style="12" customWidth="1"/>
    <col min="2" max="2" width="26.85546875" style="1" customWidth="1"/>
    <col min="3" max="3" width="14" style="1" customWidth="1"/>
    <col min="4" max="4" width="16.7109375" style="1" customWidth="1"/>
    <col min="5" max="5" width="12.140625" style="1" customWidth="1"/>
    <col min="6" max="6" width="21.140625" style="1" customWidth="1"/>
    <col min="7" max="7" width="11.28515625" style="1" customWidth="1"/>
    <col min="8" max="8" width="12.140625" style="1" customWidth="1"/>
    <col min="9" max="9" width="12.7109375" style="1" customWidth="1"/>
    <col min="10" max="10" width="14.85546875" style="1" customWidth="1"/>
    <col min="11" max="11" width="14.140625" style="1" customWidth="1"/>
    <col min="12" max="12" width="13" style="1" customWidth="1"/>
    <col min="13" max="13" width="11.42578125" style="1" customWidth="1"/>
    <col min="14" max="14" width="12.28515625" style="1" customWidth="1"/>
    <col min="15" max="15" width="14.140625" style="1" customWidth="1"/>
    <col min="16" max="18" width="13.7109375" style="1" customWidth="1"/>
    <col min="19" max="19" width="10.28515625" style="1" customWidth="1"/>
    <col min="20" max="20" width="7.28515625" style="1" customWidth="1"/>
    <col min="21" max="21" width="11.42578125" style="1" customWidth="1"/>
    <col min="22" max="22" width="7.7109375" style="1" customWidth="1"/>
    <col min="23" max="23" width="9" style="1" customWidth="1"/>
    <col min="24" max="24" width="8.140625" style="1" customWidth="1"/>
    <col min="25" max="25" width="9.85546875" style="1" customWidth="1"/>
    <col min="26" max="26" width="11.140625" style="1" customWidth="1"/>
    <col min="27" max="27" width="9.42578125" style="1" customWidth="1"/>
    <col min="28" max="30" width="9.5703125" style="1" customWidth="1"/>
    <col min="31" max="31" width="11" style="1" customWidth="1"/>
    <col min="32" max="40" width="9.28515625" style="1" customWidth="1"/>
    <col min="41" max="41" width="9.7109375" style="8" customWidth="1"/>
    <col min="42" max="42" width="13" style="1" customWidth="1"/>
    <col min="43" max="43" width="16.42578125" style="1" customWidth="1"/>
    <col min="44" max="44" width="12" style="1" customWidth="1"/>
    <col min="45" max="45" width="11.28515625" style="1" customWidth="1"/>
    <col min="46" max="46" width="9.85546875" style="1" customWidth="1"/>
    <col min="47" max="47" width="12.140625" style="8" customWidth="1"/>
    <col min="48" max="54" width="9.28515625" style="8" customWidth="1"/>
    <col min="55" max="55" width="9.42578125" style="8" customWidth="1"/>
    <col min="56" max="56" width="10.28515625" style="1" customWidth="1"/>
    <col min="57" max="57" width="10.42578125" style="1" bestFit="1" customWidth="1"/>
    <col min="58" max="58" width="10.7109375" style="8" customWidth="1"/>
    <col min="59" max="61" width="12.28515625" style="8" customWidth="1"/>
    <col min="62" max="62" width="10.7109375" style="8" customWidth="1"/>
    <col min="63" max="63" width="8.7109375" style="8" customWidth="1"/>
    <col min="64" max="71" width="10.42578125" style="8" customWidth="1"/>
    <col min="72" max="72" width="11.85546875" style="8" customWidth="1"/>
    <col min="73" max="100" width="10.42578125" style="8" customWidth="1"/>
    <col min="101" max="101" width="8.42578125" style="1" bestFit="1" customWidth="1"/>
    <col min="102" max="102" width="7.28515625" style="1" bestFit="1" customWidth="1"/>
    <col min="103" max="103" width="7.28515625" style="1" customWidth="1"/>
    <col min="104" max="104" width="10.42578125" style="1" bestFit="1" customWidth="1"/>
    <col min="105" max="105" width="8.42578125" style="1" bestFit="1" customWidth="1"/>
    <col min="106" max="106" width="7.28515625" style="1" bestFit="1" customWidth="1"/>
    <col min="107" max="107" width="6.7109375" style="1" customWidth="1"/>
    <col min="108" max="108" width="10.42578125" style="1" bestFit="1" customWidth="1"/>
    <col min="109" max="109" width="8.42578125" style="1" bestFit="1" customWidth="1"/>
    <col min="110" max="110" width="7.28515625" style="1" bestFit="1" customWidth="1"/>
    <col min="111" max="111" width="6.85546875" style="1" customWidth="1"/>
    <col min="112" max="112" width="10.42578125" style="1" bestFit="1" customWidth="1"/>
    <col min="113" max="113" width="8.42578125" style="1" bestFit="1" customWidth="1"/>
    <col min="114" max="114" width="7.28515625" style="1" bestFit="1" customWidth="1"/>
    <col min="115" max="115" width="6.85546875" style="1" customWidth="1"/>
    <col min="116" max="116" width="10.42578125" style="1" bestFit="1" customWidth="1"/>
    <col min="117" max="117" width="8.42578125" style="1" bestFit="1" customWidth="1"/>
    <col min="118" max="118" width="7.28515625" style="1" bestFit="1" customWidth="1"/>
    <col min="119" max="119" width="7.140625" style="1" customWidth="1"/>
    <col min="120" max="120" width="10.42578125" style="1" bestFit="1" customWidth="1"/>
    <col min="121" max="121" width="8.42578125" style="1" bestFit="1" customWidth="1"/>
    <col min="122" max="122" width="7.28515625" style="1" bestFit="1" customWidth="1"/>
    <col min="123" max="123" width="7.7109375" style="1" customWidth="1"/>
    <col min="124" max="124" width="10.42578125" style="1" bestFit="1" customWidth="1"/>
    <col min="125" max="125" width="8.42578125" style="1" bestFit="1" customWidth="1"/>
    <col min="126" max="126" width="7.28515625" style="1" bestFit="1" customWidth="1"/>
    <col min="127" max="127" width="6.85546875" style="1" customWidth="1"/>
    <col min="128" max="128" width="10.42578125" style="1" bestFit="1" customWidth="1"/>
    <col min="129" max="129" width="8.42578125" style="1" bestFit="1" customWidth="1"/>
    <col min="130" max="130" width="7.28515625" style="1" bestFit="1" customWidth="1"/>
    <col min="131" max="131" width="7.28515625" style="1" customWidth="1"/>
    <col min="132" max="132" width="10.42578125" style="1" bestFit="1" customWidth="1"/>
    <col min="133" max="133" width="8.42578125" style="1" bestFit="1" customWidth="1"/>
    <col min="134" max="134" width="7.28515625" style="1" bestFit="1" customWidth="1"/>
    <col min="135" max="135" width="7.28515625" style="1" customWidth="1"/>
    <col min="136" max="136" width="10.42578125" style="1" bestFit="1" customWidth="1"/>
    <col min="137" max="137" width="8.42578125" style="1" bestFit="1" customWidth="1"/>
    <col min="138" max="138" width="7.28515625" style="1" bestFit="1" customWidth="1"/>
    <col min="139" max="139" width="7.28515625" style="1" customWidth="1"/>
    <col min="140" max="140" width="8.42578125" style="1" bestFit="1" customWidth="1"/>
    <col min="141" max="141" width="7.28515625" style="1" customWidth="1"/>
    <col min="142" max="145" width="12.28515625" style="8" customWidth="1"/>
    <col min="146" max="16384" width="18.85546875" style="1"/>
  </cols>
  <sheetData>
    <row r="1" spans="1:147" x14ac:dyDescent="0.25">
      <c r="A1" s="103" t="s">
        <v>2</v>
      </c>
      <c r="B1" s="50"/>
      <c r="C1" s="103" t="s">
        <v>221</v>
      </c>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75" t="s">
        <v>222</v>
      </c>
      <c r="AV1" s="1"/>
      <c r="AW1" s="79"/>
      <c r="BD1" s="8"/>
      <c r="BE1" s="8"/>
      <c r="BN1" s="51" t="s">
        <v>304</v>
      </c>
      <c r="BO1" s="50"/>
      <c r="BP1" s="50"/>
      <c r="BQ1" s="50"/>
      <c r="BR1" s="50"/>
      <c r="BS1" s="50"/>
      <c r="BT1" s="50"/>
      <c r="BU1" s="51"/>
      <c r="BV1" s="50"/>
      <c r="BW1" s="50"/>
      <c r="BX1" s="50"/>
      <c r="BY1" s="50"/>
      <c r="BZ1" s="50"/>
      <c r="CA1" s="116" t="s">
        <v>307</v>
      </c>
      <c r="CB1" s="4"/>
      <c r="CC1" s="4"/>
      <c r="CD1" s="4"/>
      <c r="CE1" s="4"/>
      <c r="CF1" s="4"/>
      <c r="CG1" s="4"/>
      <c r="CH1" s="4"/>
      <c r="CI1" s="4"/>
      <c r="CM1" s="4"/>
      <c r="EL1" s="1"/>
      <c r="EM1" s="1"/>
      <c r="EN1" s="70" t="s">
        <v>84</v>
      </c>
      <c r="EO1" s="70"/>
      <c r="EP1" s="43"/>
      <c r="EQ1" s="43"/>
    </row>
    <row r="2" spans="1:147" x14ac:dyDescent="0.25">
      <c r="A2" s="69"/>
      <c r="B2" s="44"/>
      <c r="C2" s="44"/>
      <c r="D2" s="44"/>
      <c r="E2" s="44"/>
      <c r="F2" s="44"/>
      <c r="G2" s="44"/>
      <c r="H2" s="41" t="s">
        <v>48</v>
      </c>
      <c r="I2" s="19"/>
      <c r="J2" s="19"/>
      <c r="K2" s="19"/>
      <c r="L2" s="19"/>
      <c r="M2" s="19"/>
      <c r="N2" s="19"/>
      <c r="O2" s="21" t="s">
        <v>49</v>
      </c>
      <c r="P2" s="21"/>
      <c r="Q2" s="21"/>
      <c r="R2" s="4"/>
      <c r="S2" s="4"/>
      <c r="T2" s="4"/>
      <c r="U2" s="4"/>
      <c r="V2" s="42" t="s">
        <v>50</v>
      </c>
      <c r="W2" s="5"/>
      <c r="X2" s="5"/>
      <c r="Y2" s="5"/>
      <c r="Z2" s="5"/>
      <c r="AA2" s="5"/>
      <c r="AB2" s="5"/>
      <c r="AC2" s="5"/>
      <c r="AD2" s="5"/>
      <c r="AE2" s="43"/>
      <c r="AF2" s="3"/>
      <c r="AG2" s="3"/>
      <c r="AH2" s="3"/>
      <c r="AI2" s="3"/>
      <c r="AJ2" s="3"/>
      <c r="AK2" s="3"/>
      <c r="AL2" s="3"/>
      <c r="AM2" s="3"/>
      <c r="AN2" s="3"/>
      <c r="AO2" s="50"/>
      <c r="AP2" s="15" t="s">
        <v>218</v>
      </c>
      <c r="AQ2" s="15"/>
      <c r="AV2" s="1"/>
      <c r="AW2" s="79"/>
      <c r="AY2" s="67" t="s">
        <v>373</v>
      </c>
      <c r="AZ2" s="11"/>
      <c r="BA2" s="68"/>
      <c r="BB2" s="68"/>
      <c r="BC2" s="67"/>
      <c r="BD2" s="24"/>
      <c r="BE2" s="24"/>
      <c r="BF2" s="69" t="s">
        <v>16</v>
      </c>
      <c r="BG2" s="69"/>
      <c r="BH2" s="69"/>
      <c r="BI2" s="61"/>
      <c r="BJ2" s="61"/>
      <c r="BK2" s="61"/>
      <c r="BL2" s="30"/>
      <c r="BM2" s="30"/>
      <c r="BN2" s="30" t="s">
        <v>296</v>
      </c>
      <c r="BO2" s="30"/>
      <c r="BP2" s="30"/>
      <c r="BQ2" s="30"/>
      <c r="BR2" s="30"/>
      <c r="BS2" s="30"/>
      <c r="BT2" s="30"/>
      <c r="BU2" s="30" t="s">
        <v>296</v>
      </c>
      <c r="BV2" s="30"/>
      <c r="BW2" s="30"/>
      <c r="BX2" s="30"/>
      <c r="BY2" s="30"/>
      <c r="BZ2" s="30"/>
      <c r="CA2" s="30" t="s">
        <v>305</v>
      </c>
      <c r="CB2" s="30"/>
      <c r="CC2" s="30"/>
      <c r="CD2" s="30" t="s">
        <v>305</v>
      </c>
      <c r="CE2" s="30"/>
      <c r="CF2" s="30"/>
      <c r="CG2" s="30"/>
      <c r="CH2" s="30"/>
      <c r="CI2" s="30"/>
      <c r="CJ2" s="30" t="s">
        <v>308</v>
      </c>
      <c r="CK2" s="30"/>
      <c r="CL2" s="30"/>
      <c r="CM2" s="30" t="s">
        <v>305</v>
      </c>
      <c r="CN2" s="30" t="s">
        <v>296</v>
      </c>
      <c r="CO2" s="30"/>
      <c r="CP2" s="30"/>
      <c r="CQ2" s="30"/>
      <c r="CR2" s="30"/>
      <c r="CS2" s="30"/>
      <c r="CT2" s="30"/>
      <c r="CU2" s="30"/>
      <c r="CV2" s="30"/>
      <c r="CW2" s="39" t="s">
        <v>4</v>
      </c>
      <c r="CX2" s="39"/>
      <c r="CY2" s="39"/>
      <c r="CZ2" s="39"/>
      <c r="DA2" s="53" t="s">
        <v>5</v>
      </c>
      <c r="DB2" s="53"/>
      <c r="DC2" s="39"/>
      <c r="DD2" s="39"/>
      <c r="DE2" s="53" t="s">
        <v>10</v>
      </c>
      <c r="DF2" s="53"/>
      <c r="DG2" s="53"/>
      <c r="DH2" s="53"/>
      <c r="DI2" s="53" t="s">
        <v>93</v>
      </c>
      <c r="DJ2" s="53"/>
      <c r="DK2" s="53"/>
      <c r="DL2" s="53"/>
      <c r="DM2" s="53" t="s">
        <v>6</v>
      </c>
      <c r="DN2" s="53"/>
      <c r="DO2" s="53"/>
      <c r="DP2" s="53"/>
      <c r="DQ2" s="53" t="s">
        <v>12</v>
      </c>
      <c r="DR2" s="53"/>
      <c r="DS2" s="53"/>
      <c r="DT2" s="53"/>
      <c r="DU2" s="53" t="s">
        <v>7</v>
      </c>
      <c r="DV2" s="53"/>
      <c r="DW2" s="53"/>
      <c r="DX2" s="53"/>
      <c r="DY2" s="53" t="s">
        <v>8</v>
      </c>
      <c r="DZ2" s="53"/>
      <c r="EA2" s="53"/>
      <c r="EB2" s="53"/>
      <c r="EC2" s="53" t="s">
        <v>9</v>
      </c>
      <c r="ED2" s="53"/>
      <c r="EE2" s="53"/>
      <c r="EF2" s="53"/>
      <c r="EG2" s="53" t="s">
        <v>102</v>
      </c>
      <c r="EH2" s="53"/>
      <c r="EI2" s="53"/>
      <c r="EJ2" s="53"/>
      <c r="EK2" s="53" t="s">
        <v>126</v>
      </c>
      <c r="EL2" s="53"/>
      <c r="EM2" s="40"/>
      <c r="EN2" s="68" t="s">
        <v>85</v>
      </c>
      <c r="EO2" s="68"/>
      <c r="EP2" s="44" t="s">
        <v>20</v>
      </c>
      <c r="EQ2" s="44"/>
    </row>
    <row r="3" spans="1:147" s="15" customFormat="1" ht="93.6" customHeight="1" x14ac:dyDescent="0.25">
      <c r="A3" s="13" t="s">
        <v>424</v>
      </c>
      <c r="B3" s="265" t="s">
        <v>0</v>
      </c>
      <c r="C3" s="262" t="s">
        <v>231</v>
      </c>
      <c r="D3" s="258" t="s">
        <v>22</v>
      </c>
      <c r="E3" s="258" t="s">
        <v>39</v>
      </c>
      <c r="F3" s="258" t="s">
        <v>21</v>
      </c>
      <c r="G3" s="258" t="s">
        <v>68</v>
      </c>
      <c r="H3" s="15" t="s">
        <v>343</v>
      </c>
      <c r="I3" s="15" t="s">
        <v>346</v>
      </c>
      <c r="J3" s="15" t="s">
        <v>344</v>
      </c>
      <c r="K3" s="15" t="s">
        <v>345</v>
      </c>
      <c r="L3" s="15" t="s">
        <v>347</v>
      </c>
      <c r="M3" s="20" t="s">
        <v>123</v>
      </c>
      <c r="N3" s="20" t="s">
        <v>369</v>
      </c>
      <c r="O3" s="15" t="s">
        <v>363</v>
      </c>
      <c r="P3" s="15" t="s">
        <v>119</v>
      </c>
      <c r="Q3" s="15" t="s">
        <v>89</v>
      </c>
      <c r="R3" s="15" t="s">
        <v>366</v>
      </c>
      <c r="S3" s="15" t="s">
        <v>367</v>
      </c>
      <c r="T3" s="15" t="s">
        <v>368</v>
      </c>
      <c r="U3" s="21" t="s">
        <v>377</v>
      </c>
      <c r="V3" s="15" t="s">
        <v>34</v>
      </c>
      <c r="W3" s="15" t="s">
        <v>35</v>
      </c>
      <c r="X3" s="15" t="s">
        <v>350</v>
      </c>
      <c r="Y3" s="15" t="s">
        <v>51</v>
      </c>
      <c r="Z3" s="15" t="s">
        <v>52</v>
      </c>
      <c r="AA3" s="15" t="s">
        <v>351</v>
      </c>
      <c r="AB3" s="22" t="s">
        <v>124</v>
      </c>
      <c r="AC3" s="22" t="s">
        <v>125</v>
      </c>
      <c r="AD3" s="22" t="s">
        <v>3</v>
      </c>
      <c r="AE3" s="122" t="s">
        <v>348</v>
      </c>
      <c r="AF3" s="23" t="s">
        <v>204</v>
      </c>
      <c r="AG3" s="23" t="s">
        <v>205</v>
      </c>
      <c r="AH3" s="23" t="s">
        <v>206</v>
      </c>
      <c r="AI3" s="23" t="s">
        <v>207</v>
      </c>
      <c r="AJ3" s="23" t="s">
        <v>349</v>
      </c>
      <c r="AK3" s="23" t="s">
        <v>211</v>
      </c>
      <c r="AL3" s="23" t="s">
        <v>210</v>
      </c>
      <c r="AM3" s="23" t="s">
        <v>208</v>
      </c>
      <c r="AN3" s="23" t="s">
        <v>209</v>
      </c>
      <c r="AO3" s="51" t="s">
        <v>364</v>
      </c>
      <c r="AP3" s="47" t="s">
        <v>370</v>
      </c>
      <c r="AQ3" s="47" t="s">
        <v>251</v>
      </c>
      <c r="AR3" s="47" t="s">
        <v>365</v>
      </c>
      <c r="AS3" s="47" t="s">
        <v>371</v>
      </c>
      <c r="AT3" s="47" t="s">
        <v>372</v>
      </c>
      <c r="AU3" s="47" t="s">
        <v>20</v>
      </c>
      <c r="AV3" s="47" t="s">
        <v>220</v>
      </c>
      <c r="AW3" s="102"/>
      <c r="AX3" s="30"/>
      <c r="AY3" s="38" t="s">
        <v>11</v>
      </c>
      <c r="AZ3" s="46" t="s">
        <v>83</v>
      </c>
      <c r="BA3" s="23" t="s">
        <v>38</v>
      </c>
      <c r="BB3" s="122" t="s">
        <v>86</v>
      </c>
      <c r="BC3" s="20" t="s">
        <v>46</v>
      </c>
      <c r="BD3" s="21" t="s">
        <v>14</v>
      </c>
      <c r="BE3" s="22" t="s">
        <v>15</v>
      </c>
      <c r="BF3" s="48" t="s">
        <v>38</v>
      </c>
      <c r="BG3" s="47" t="s">
        <v>86</v>
      </c>
      <c r="BH3" s="38" t="s">
        <v>11</v>
      </c>
      <c r="BI3" s="30"/>
      <c r="BJ3" s="30"/>
      <c r="BK3" s="30"/>
      <c r="BL3" s="30"/>
      <c r="BM3" s="30"/>
      <c r="BN3" s="30" t="s">
        <v>245</v>
      </c>
      <c r="BO3" s="30"/>
      <c r="BP3" s="30" t="s">
        <v>306</v>
      </c>
      <c r="BQ3" s="30" t="s">
        <v>293</v>
      </c>
      <c r="BR3" s="30" t="s">
        <v>294</v>
      </c>
      <c r="BS3" s="30" t="s">
        <v>295</v>
      </c>
      <c r="BT3" s="30" t="s">
        <v>240</v>
      </c>
      <c r="BU3" s="30" t="s">
        <v>301</v>
      </c>
      <c r="BV3" s="30" t="s">
        <v>302</v>
      </c>
      <c r="BW3" s="30" t="s">
        <v>303</v>
      </c>
      <c r="BX3" s="30" t="s">
        <v>301</v>
      </c>
      <c r="BY3" s="30" t="s">
        <v>302</v>
      </c>
      <c r="BZ3" s="30" t="s">
        <v>303</v>
      </c>
      <c r="CA3" s="30" t="s">
        <v>293</v>
      </c>
      <c r="CB3" s="30" t="s">
        <v>294</v>
      </c>
      <c r="CC3" s="30" t="s">
        <v>295</v>
      </c>
      <c r="CD3" s="30" t="s">
        <v>301</v>
      </c>
      <c r="CE3" s="30" t="s">
        <v>302</v>
      </c>
      <c r="CF3" s="30" t="s">
        <v>303</v>
      </c>
      <c r="CG3" s="30" t="s">
        <v>311</v>
      </c>
      <c r="CH3" s="30" t="s">
        <v>312</v>
      </c>
      <c r="CI3" s="30" t="s">
        <v>313</v>
      </c>
      <c r="CJ3" s="30" t="s">
        <v>241</v>
      </c>
      <c r="CK3" s="30" t="s">
        <v>242</v>
      </c>
      <c r="CL3" s="30" t="s">
        <v>243</v>
      </c>
      <c r="CM3" s="30" t="s">
        <v>240</v>
      </c>
      <c r="CN3" s="30" t="s">
        <v>297</v>
      </c>
      <c r="CO3" s="30" t="s">
        <v>298</v>
      </c>
      <c r="CP3" s="30" t="s">
        <v>299</v>
      </c>
      <c r="CQ3" s="30" t="s">
        <v>309</v>
      </c>
      <c r="CR3" s="30" t="s">
        <v>310</v>
      </c>
      <c r="CS3" s="30" t="s">
        <v>300</v>
      </c>
      <c r="CT3" s="30"/>
      <c r="CU3" s="30"/>
      <c r="CV3" s="30"/>
      <c r="CW3" s="24" t="s">
        <v>47</v>
      </c>
      <c r="CX3" s="20" t="s">
        <v>46</v>
      </c>
      <c r="CY3" s="21" t="s">
        <v>14</v>
      </c>
      <c r="CZ3" s="22" t="s">
        <v>15</v>
      </c>
      <c r="DA3" s="24" t="s">
        <v>47</v>
      </c>
      <c r="DB3" s="20" t="s">
        <v>46</v>
      </c>
      <c r="DC3" s="21" t="s">
        <v>14</v>
      </c>
      <c r="DD3" s="22" t="s">
        <v>15</v>
      </c>
      <c r="DE3" s="24" t="s">
        <v>47</v>
      </c>
      <c r="DF3" s="20" t="s">
        <v>46</v>
      </c>
      <c r="DG3" s="21" t="s">
        <v>14</v>
      </c>
      <c r="DH3" s="22" t="s">
        <v>15</v>
      </c>
      <c r="DI3" s="24" t="s">
        <v>47</v>
      </c>
      <c r="DJ3" s="20" t="s">
        <v>46</v>
      </c>
      <c r="DK3" s="21" t="s">
        <v>14</v>
      </c>
      <c r="DL3" s="22" t="s">
        <v>15</v>
      </c>
      <c r="DM3" s="24" t="s">
        <v>47</v>
      </c>
      <c r="DN3" s="20" t="s">
        <v>46</v>
      </c>
      <c r="DO3" s="21" t="s">
        <v>14</v>
      </c>
      <c r="DP3" s="22" t="s">
        <v>15</v>
      </c>
      <c r="DQ3" s="24" t="s">
        <v>47</v>
      </c>
      <c r="DR3" s="20" t="s">
        <v>46</v>
      </c>
      <c r="DS3" s="21" t="s">
        <v>14</v>
      </c>
      <c r="DT3" s="22" t="s">
        <v>15</v>
      </c>
      <c r="DU3" s="24" t="s">
        <v>47</v>
      </c>
      <c r="DV3" s="20" t="s">
        <v>46</v>
      </c>
      <c r="DW3" s="21" t="s">
        <v>14</v>
      </c>
      <c r="DX3" s="22" t="s">
        <v>15</v>
      </c>
      <c r="DY3" s="24" t="s">
        <v>47</v>
      </c>
      <c r="DZ3" s="20" t="s">
        <v>46</v>
      </c>
      <c r="EA3" s="21" t="s">
        <v>14</v>
      </c>
      <c r="EB3" s="22" t="s">
        <v>15</v>
      </c>
      <c r="EC3" s="24" t="s">
        <v>47</v>
      </c>
      <c r="ED3" s="20" t="s">
        <v>46</v>
      </c>
      <c r="EE3" s="21" t="s">
        <v>14</v>
      </c>
      <c r="EF3" s="22" t="s">
        <v>15</v>
      </c>
      <c r="EG3" s="24" t="s">
        <v>47</v>
      </c>
      <c r="EH3" s="20" t="s">
        <v>46</v>
      </c>
      <c r="EI3" s="21" t="s">
        <v>14</v>
      </c>
      <c r="EJ3" s="22" t="s">
        <v>15</v>
      </c>
      <c r="EK3" s="24" t="s">
        <v>47</v>
      </c>
      <c r="EL3" s="21" t="s">
        <v>14</v>
      </c>
      <c r="EM3" s="30"/>
      <c r="EN3" s="49" t="s">
        <v>38</v>
      </c>
      <c r="EO3" s="36" t="s">
        <v>86</v>
      </c>
      <c r="EP3" s="48" t="s">
        <v>38</v>
      </c>
      <c r="EQ3" s="47" t="s">
        <v>86</v>
      </c>
    </row>
    <row r="4" spans="1:147" x14ac:dyDescent="0.25">
      <c r="B4" s="266" t="s">
        <v>342</v>
      </c>
      <c r="C4" s="259" t="s">
        <v>246</v>
      </c>
      <c r="D4" s="84" t="s">
        <v>4</v>
      </c>
      <c r="E4" s="84" t="s">
        <v>38</v>
      </c>
      <c r="F4" s="84" t="s">
        <v>24</v>
      </c>
      <c r="G4" s="84" t="s">
        <v>1</v>
      </c>
      <c r="H4" s="16">
        <v>1</v>
      </c>
      <c r="I4" s="6">
        <v>600</v>
      </c>
      <c r="J4" s="6"/>
      <c r="K4" s="6"/>
      <c r="L4" s="6"/>
      <c r="M4" s="19">
        <f>H4*I4</f>
        <v>600</v>
      </c>
      <c r="N4" s="19">
        <f t="shared" ref="N4:N30" si="0">(H4*I4)+(K4*L4)+(J4*L4)</f>
        <v>600</v>
      </c>
      <c r="O4" s="9"/>
      <c r="P4" t="s">
        <v>120</v>
      </c>
      <c r="Q4" t="s">
        <v>212</v>
      </c>
      <c r="R4" s="9"/>
      <c r="U4" s="4">
        <f>(R4*T4)+(S4*T4)</f>
        <v>0</v>
      </c>
      <c r="AB4" s="5">
        <f>(V4*X4)+(W4*X4)</f>
        <v>0</v>
      </c>
      <c r="AC4" s="5">
        <f>(Y4*AA4)+(Z4*AA4)</f>
        <v>0</v>
      </c>
      <c r="AD4" s="5">
        <f t="shared" ref="AD4:AD30" si="1">(V4*X4)+(W4*X4)+(Y4*AA4)+(Z4*AA4)</f>
        <v>0</v>
      </c>
      <c r="AE4" s="43">
        <f t="shared" ref="AE4:AE31" si="2">N4+U4+AD4</f>
        <v>600</v>
      </c>
      <c r="AF4" s="3">
        <f>(H4*I4)+(K4*L4)</f>
        <v>600</v>
      </c>
      <c r="AG4" s="3">
        <f>(S4*T4)</f>
        <v>0</v>
      </c>
      <c r="AH4" s="3">
        <f>(W4*X4)</f>
        <v>0</v>
      </c>
      <c r="AI4" s="3">
        <f>(Z4*AA4)</f>
        <v>0</v>
      </c>
      <c r="AJ4" s="3">
        <f>(H4*I4)+(K4*L4)+(S4*T4)+(W4*X4)+(Z4*AA4)</f>
        <v>600</v>
      </c>
      <c r="AK4" s="3">
        <f>(J4*L4)</f>
        <v>0</v>
      </c>
      <c r="AL4" s="3">
        <f>(R4*T4)</f>
        <v>0</v>
      </c>
      <c r="AM4" s="3">
        <f>(V4*X4)</f>
        <v>0</v>
      </c>
      <c r="AN4" s="3">
        <f>(Y4*AA4)</f>
        <v>0</v>
      </c>
      <c r="AO4" s="54">
        <f>(J4*L4)+(R4*T4)+(V4*X4)+(Y4*AA4)</f>
        <v>0</v>
      </c>
      <c r="AP4" s="1" t="s">
        <v>1</v>
      </c>
      <c r="AQ4" t="s">
        <v>42</v>
      </c>
      <c r="AR4" s="1">
        <v>500</v>
      </c>
      <c r="AT4" s="1">
        <v>125</v>
      </c>
      <c r="AU4" s="104">
        <f>AS4*AT4</f>
        <v>0</v>
      </c>
      <c r="AV4" s="104">
        <f t="shared" ref="AV4:AV31" si="3">(AR4*AT4)</f>
        <v>62500</v>
      </c>
      <c r="AW4" s="79"/>
      <c r="AY4" s="10">
        <f t="shared" ref="AY4:AY31" si="4">BC4+BD4+BE4</f>
        <v>1200</v>
      </c>
      <c r="AZ4" s="10">
        <f t="shared" ref="AZ4:AZ31" si="5">AJ4/$C$7</f>
        <v>1200</v>
      </c>
      <c r="BA4" s="10">
        <f t="shared" ref="BA4:BA31" si="6">(AE4/$C$7)*EN4</f>
        <v>1200</v>
      </c>
      <c r="BB4" s="10">
        <f t="shared" ref="BB4:BB31" si="7">(AE4/$C$7)*EO4</f>
        <v>0</v>
      </c>
      <c r="BC4" s="10">
        <f t="shared" ref="BC4:BE31" si="8">CX4+DB4+DF4+DJ4+DN4+DR4+DV4+DZ4+ED4+EH4</f>
        <v>1200</v>
      </c>
      <c r="BD4" s="10">
        <f t="shared" si="8"/>
        <v>0</v>
      </c>
      <c r="BE4" s="10">
        <f t="shared" si="8"/>
        <v>0</v>
      </c>
      <c r="BF4" s="10">
        <f t="shared" ref="BF4:BF31" si="9">(AV4/$C$7)*EP4</f>
        <v>125000</v>
      </c>
      <c r="BG4" s="10">
        <f t="shared" ref="BG4:BG31" si="10">(AV4/$C$7)*EQ4</f>
        <v>0</v>
      </c>
      <c r="BH4" s="10">
        <f>BF4+BG4</f>
        <v>125000</v>
      </c>
      <c r="BI4" s="10"/>
      <c r="BJ4" s="10"/>
      <c r="BK4" s="10"/>
      <c r="BL4" s="10"/>
      <c r="BM4" s="10"/>
      <c r="BN4" s="113">
        <f>AR4/VLOOKUP(AP4,References!$A$3:$C$53,2,FALSE)</f>
        <v>0.62435067529769039</v>
      </c>
      <c r="BO4" s="113">
        <f>(IF(ISNUMBER(BN4),BN4,0))</f>
        <v>0.62435067529769039</v>
      </c>
      <c r="BP4" s="113">
        <f t="shared" ref="BP4:BP31" si="11">BO4/$C$7</f>
        <v>1.2487013505953808</v>
      </c>
      <c r="BQ4" s="113">
        <f>((R4*(VLOOKUP(Q4,References!$A$57:$D$110,2,FALSE))%)+(S4*(VLOOKUP(Q4,References!$A$57:$D$110,2,FALSE))%)*(CW4+DA4+DM4))</f>
        <v>0</v>
      </c>
      <c r="BR4" s="113">
        <f>((R4*(VLOOKUP(Q4,References!$A$57:$D$110,3,FALSE))%)+(S4*(VLOOKUP(Q4,References!$A$57:$D$110,3,FALSE))%)*(CW4+DA4+DM4))</f>
        <v>0</v>
      </c>
      <c r="BS4" s="113">
        <f>((R4*(VLOOKUP(Q4,References!$A$57:$D$110,4,FALSE))%)+(S4*(VLOOKUP(Q4,References!$A$57:$D$110,4,FALSE))%)*(CW4+DA4+DM4))</f>
        <v>0</v>
      </c>
      <c r="BT4" s="10">
        <f>((((R4+S4)/100)*VLOOKUP(Q4,References!$A$58:$M$110,13,FALSE))*(CW4+DA4+DM4))</f>
        <v>0</v>
      </c>
      <c r="BU4" s="10">
        <f>(AR4/1000)*VLOOKUP(AP4,References!$A$4:$P$54,11,FALSE)</f>
        <v>11.049723756906078</v>
      </c>
      <c r="BV4" s="10">
        <f>(AR4/1000)*VLOOKUP(AP4,References!$A$4:$P$54,12,FALSE)</f>
        <v>10.112425906255385</v>
      </c>
      <c r="BW4" s="10">
        <f>(AR4/1000)*VLOOKUP(AP4,References!$A$4:$P$54,13,FALSE)</f>
        <v>9.9206349206349209</v>
      </c>
      <c r="BX4" s="113">
        <f>(IF(ISNUMBER(BU4),BU4,0))</f>
        <v>11.049723756906078</v>
      </c>
      <c r="BY4" s="113">
        <f t="shared" ref="BY4:BZ19" si="12">(IF(ISNUMBER(BV4),BV4,0))</f>
        <v>10.112425906255385</v>
      </c>
      <c r="BZ4" s="113">
        <f t="shared" si="12"/>
        <v>9.9206349206349209</v>
      </c>
      <c r="CA4" s="113">
        <f t="shared" ref="CA4:CA31" si="13">BQ4/$C$7</f>
        <v>0</v>
      </c>
      <c r="CB4" s="113">
        <f t="shared" ref="CB4:CB31" si="14">BR4/$C$7</f>
        <v>0</v>
      </c>
      <c r="CC4" s="113">
        <f t="shared" ref="CC4:CC31" si="15">BS4/$C$7</f>
        <v>0</v>
      </c>
      <c r="CD4" s="113">
        <f t="shared" ref="CD4:CD31" si="16">BX4/$C$7</f>
        <v>22.099447513812155</v>
      </c>
      <c r="CE4" s="113">
        <f t="shared" ref="CE4:CE31" si="17">BY4/$C$7</f>
        <v>20.224851812510771</v>
      </c>
      <c r="CF4" s="113">
        <f t="shared" ref="CF4:CF31" si="18">BZ4/$C$7</f>
        <v>19.841269841269842</v>
      </c>
      <c r="CG4" s="113"/>
      <c r="CH4" s="113"/>
      <c r="CI4" s="113"/>
      <c r="CJ4" s="113"/>
      <c r="CK4" s="113"/>
      <c r="CL4" s="113"/>
      <c r="CM4" s="113">
        <f t="shared" ref="CM4:CM31" si="19">BT4/$C$7</f>
        <v>0</v>
      </c>
      <c r="CN4" s="113" t="e">
        <f>R4*VLOOKUP(Q4,References!$A$86:$E$158,2,FALSE)+S4*VLOOKUP(Q4,References!$A$86:$E$158,2,FALSE)</f>
        <v>#N/A</v>
      </c>
      <c r="CO4" s="113" t="e">
        <f>((VLOOKUP(Q4,References!$A$86:$E$158,3,FALSE)-(CN4/C$7))/(VLOOKUP(Q4,References!$A$86:$E$158,3,FALSE)))</f>
        <v>#N/A</v>
      </c>
      <c r="CP4" s="101" t="e">
        <f>1-CO4</f>
        <v>#N/A</v>
      </c>
      <c r="CQ4" s="113">
        <f>(IF(ISNUMBER(CN4),CN4,0))</f>
        <v>0</v>
      </c>
      <c r="CR4" s="113">
        <f t="shared" ref="CR4:CS31" si="20">(IF(ISNUMBER(CO4),CO4,0))</f>
        <v>0</v>
      </c>
      <c r="CS4" s="113">
        <f t="shared" si="20"/>
        <v>0</v>
      </c>
      <c r="CT4" s="113"/>
      <c r="CU4" s="10"/>
      <c r="CV4" s="10"/>
      <c r="CW4" s="7">
        <f>IF($D4="Land preparation",1,0)</f>
        <v>1</v>
      </c>
      <c r="CX4" s="7">
        <f t="shared" ref="CX4:CX31" si="21">(CW4*$N4)/$C$7</f>
        <v>1200</v>
      </c>
      <c r="CY4" s="7">
        <f t="shared" ref="CY4:CY31" si="22">(CW4*$U4)/$C$7</f>
        <v>0</v>
      </c>
      <c r="CZ4" s="7">
        <f t="shared" ref="CZ4:CZ31" si="23">(CW4*$AD4)/$C$7</f>
        <v>0</v>
      </c>
      <c r="DA4" s="7">
        <f>IF($D4="Basal manuring",1,0)</f>
        <v>0</v>
      </c>
      <c r="DB4" s="7">
        <f t="shared" ref="DB4:DB31" si="24">(DA4*$N4)/$C$7</f>
        <v>0</v>
      </c>
      <c r="DC4" s="7">
        <f t="shared" ref="DC4:DC31" si="25">(DA4*$U4)/$C$7</f>
        <v>0</v>
      </c>
      <c r="DD4" s="7">
        <f t="shared" ref="DD4:DD31" si="26">(DA4*$AD4)/$C$7</f>
        <v>0</v>
      </c>
      <c r="DE4" s="7">
        <f>IF($D4="Sowing",1,0)</f>
        <v>0</v>
      </c>
      <c r="DF4" s="7">
        <f t="shared" ref="DF4:DF31" si="27">(DE4*$N4)/$C$7</f>
        <v>0</v>
      </c>
      <c r="DG4" s="7">
        <f t="shared" ref="DG4:DG31" si="28">(DE4*$U4)/$C$7</f>
        <v>0</v>
      </c>
      <c r="DH4" s="7">
        <f t="shared" ref="DH4:DH31" si="29">(DE4*$AD4)/$C$7</f>
        <v>0</v>
      </c>
      <c r="DI4" s="7">
        <f>IF($D4="Irrigation",1,0)</f>
        <v>0</v>
      </c>
      <c r="DJ4" s="7">
        <f t="shared" ref="DJ4:DJ31" si="30">(DI4*$N4)/$C$7</f>
        <v>0</v>
      </c>
      <c r="DK4" s="7">
        <f t="shared" ref="DK4:DK31" si="31">(DI4*$U4)/$C$7</f>
        <v>0</v>
      </c>
      <c r="DL4" s="7">
        <f t="shared" ref="DL4:DL31" si="32">(DI4*$AD4)/$C$7</f>
        <v>0</v>
      </c>
      <c r="DM4" s="7">
        <f>IF($D4="Top dressing",1,0)</f>
        <v>0</v>
      </c>
      <c r="DN4" s="7">
        <f t="shared" ref="DN4:DN31" si="33">(DM4*$N4)/$C$7</f>
        <v>0</v>
      </c>
      <c r="DO4" s="7">
        <f t="shared" ref="DO4:DO31" si="34">(DM4*$U4)/$C$7</f>
        <v>0</v>
      </c>
      <c r="DP4" s="7">
        <f t="shared" ref="DP4:DP31" si="35">(DM4*$AD4)/$C$7</f>
        <v>0</v>
      </c>
      <c r="DQ4" s="7">
        <f>IF($D4="Weed management",1,0)</f>
        <v>0</v>
      </c>
      <c r="DR4" s="7">
        <f t="shared" ref="DR4:DR31" si="36">(DQ4*$N4)/$C$7</f>
        <v>0</v>
      </c>
      <c r="DS4" s="7">
        <f t="shared" ref="DS4:DS31" si="37">(DQ4*$U4)/$C$7</f>
        <v>0</v>
      </c>
      <c r="DT4" s="7">
        <f t="shared" ref="DT4:DT31" si="38">(DQ4*$AD4)/$C$7</f>
        <v>0</v>
      </c>
      <c r="DU4" s="7">
        <f>IF($D4="Pest management",1,0)</f>
        <v>0</v>
      </c>
      <c r="DV4" s="7">
        <f t="shared" ref="DV4:DV31" si="39">(DU4*$N4)/$C$7</f>
        <v>0</v>
      </c>
      <c r="DW4" s="7">
        <f t="shared" ref="DW4:DW31" si="40">(DU4*$U4)/$C$7</f>
        <v>0</v>
      </c>
      <c r="DX4" s="7">
        <f t="shared" ref="DX4:DX31" si="41">(DU4*$AD4)/$C$7</f>
        <v>0</v>
      </c>
      <c r="DY4" s="7">
        <f>IF($D4="Harvesting",1,0)</f>
        <v>0</v>
      </c>
      <c r="DZ4" s="7">
        <f t="shared" ref="DZ4:DZ31" si="42">(DY4*$N4)/$C$7</f>
        <v>0</v>
      </c>
      <c r="EA4" s="7">
        <f t="shared" ref="EA4:EA31" si="43">(DY4*$U4)/$C$7</f>
        <v>0</v>
      </c>
      <c r="EB4" s="7">
        <f t="shared" ref="EB4:EB31" si="44">(DY4*$AD4)/$C$7</f>
        <v>0</v>
      </c>
      <c r="EC4" s="7">
        <f>IF($D4="Post harvesting",1,0)</f>
        <v>0</v>
      </c>
      <c r="ED4" s="7">
        <f t="shared" ref="ED4:ED31" si="45">(EC4*$N4)/$C$7</f>
        <v>0</v>
      </c>
      <c r="EE4" s="7">
        <f t="shared" ref="EE4:EE31" si="46">(EC4*$U4)/$C$7</f>
        <v>0</v>
      </c>
      <c r="EF4" s="7">
        <f t="shared" ref="EF4:EF31" si="47">(EC4*$AD4)/$C$7</f>
        <v>0</v>
      </c>
      <c r="EG4" s="7">
        <f>IF($D4="Transportation",1,0)</f>
        <v>0</v>
      </c>
      <c r="EH4" s="7">
        <f t="shared" ref="EH4:EH31" si="48">(EG4*$N4)/$C$7</f>
        <v>0</v>
      </c>
      <c r="EI4" s="7">
        <f t="shared" ref="EI4:EI31" si="49">(EG4*$U4)/$C$7</f>
        <v>0</v>
      </c>
      <c r="EJ4" s="7">
        <f t="shared" ref="EJ4:EJ31" si="50">(EG4*$AD4)/$C$7</f>
        <v>0</v>
      </c>
      <c r="EK4" s="7">
        <f>IF($P4="Organic",1,0)</f>
        <v>1</v>
      </c>
      <c r="EL4" s="7">
        <f t="shared" ref="EL4:EL31" si="51">(EK4*$U4)/$C$7</f>
        <v>0</v>
      </c>
      <c r="EM4" s="7"/>
      <c r="EN4" s="62">
        <f>IF($E4="Maincrop",1,0)</f>
        <v>1</v>
      </c>
      <c r="EO4" s="62">
        <f>IF($E4="Intercrops",1,0)</f>
        <v>0</v>
      </c>
      <c r="EP4" s="62" t="str">
        <f>IF(OR($AQ4="Maincrop: Yield",$AQ4="Maincrop: Byproduct"),"1","0")</f>
        <v>1</v>
      </c>
      <c r="EQ4" s="62" t="str">
        <f>IF(OR($AQ4="Intercrop: Yield",$AQ4="Intercrop: Byproduct"),"1","0")</f>
        <v>0</v>
      </c>
    </row>
    <row r="5" spans="1:147" x14ac:dyDescent="0.25">
      <c r="B5" s="267" t="s">
        <v>219</v>
      </c>
      <c r="C5" s="263">
        <v>42522</v>
      </c>
      <c r="D5" s="84" t="s">
        <v>4</v>
      </c>
      <c r="E5" s="84" t="s">
        <v>38</v>
      </c>
      <c r="F5" s="84" t="s">
        <v>25</v>
      </c>
      <c r="G5" s="84" t="s">
        <v>1</v>
      </c>
      <c r="H5" s="16">
        <v>1</v>
      </c>
      <c r="I5" s="6">
        <v>600</v>
      </c>
      <c r="J5" s="6"/>
      <c r="K5" s="6"/>
      <c r="L5" s="6"/>
      <c r="M5" s="19">
        <f t="shared" ref="M5:M30" si="52">H5*I5</f>
        <v>600</v>
      </c>
      <c r="N5" s="19">
        <f t="shared" si="0"/>
        <v>600</v>
      </c>
      <c r="O5" s="9"/>
      <c r="P5" s="9" t="s">
        <v>120</v>
      </c>
      <c r="Q5" s="9" t="s">
        <v>212</v>
      </c>
      <c r="R5" s="9"/>
      <c r="U5" s="4">
        <f t="shared" ref="U5:U31" si="53">(R5*T5)+(S5*T5)</f>
        <v>0</v>
      </c>
      <c r="AB5" s="5">
        <f t="shared" ref="AB5:AB31" si="54">(V5*X5)+(W5*X5)</f>
        <v>0</v>
      </c>
      <c r="AC5" s="5">
        <f t="shared" ref="AC5:AC31" si="55">(Y5*AA5)+(Z5*AA5)</f>
        <v>0</v>
      </c>
      <c r="AD5" s="5">
        <f t="shared" si="1"/>
        <v>0</v>
      </c>
      <c r="AE5" s="43">
        <f t="shared" si="2"/>
        <v>600</v>
      </c>
      <c r="AF5" s="3">
        <f t="shared" ref="AF5:AF31" si="56">(H5*I5)+(K5*L5)</f>
        <v>600</v>
      </c>
      <c r="AG5" s="3">
        <f t="shared" ref="AG5:AG31" si="57">(S5*T5)</f>
        <v>0</v>
      </c>
      <c r="AH5" s="3">
        <f t="shared" ref="AH5:AH31" si="58">(W5*X5)</f>
        <v>0</v>
      </c>
      <c r="AI5" s="3">
        <f t="shared" ref="AI5:AI31" si="59">(Z5*AA5)</f>
        <v>0</v>
      </c>
      <c r="AJ5" s="3">
        <f t="shared" ref="AJ5:AJ31" si="60">(H5*I5)+(K5*L5)+(S5*T5)+(W5*X5)+(Z5*AA5)</f>
        <v>600</v>
      </c>
      <c r="AK5" s="3">
        <f t="shared" ref="AK5:AK31" si="61">(J5*L5)</f>
        <v>0</v>
      </c>
      <c r="AL5" s="3">
        <f t="shared" ref="AL5:AL31" si="62">(R5*T5)</f>
        <v>0</v>
      </c>
      <c r="AM5" s="3">
        <f t="shared" ref="AM5:AM31" si="63">(V5*X5)</f>
        <v>0</v>
      </c>
      <c r="AN5" s="3">
        <f t="shared" ref="AN5:AN31" si="64">(Y5*AA5)</f>
        <v>0</v>
      </c>
      <c r="AO5" s="54">
        <f t="shared" ref="AO5:AO31" si="65">(J5*L5)+(R5*T5)+(V5*X5)+(Y5*AA5)</f>
        <v>0</v>
      </c>
      <c r="AP5" s="1" t="s">
        <v>75</v>
      </c>
      <c r="AQ5" t="s">
        <v>43</v>
      </c>
      <c r="AR5" s="1">
        <v>8</v>
      </c>
      <c r="AT5" s="1">
        <v>25</v>
      </c>
      <c r="AU5" s="104">
        <f t="shared" ref="AU5:AU31" si="66">AS5*AT5</f>
        <v>0</v>
      </c>
      <c r="AV5" s="104">
        <f t="shared" si="3"/>
        <v>200</v>
      </c>
      <c r="AW5" s="79"/>
      <c r="AY5" s="10">
        <f t="shared" si="4"/>
        <v>1200</v>
      </c>
      <c r="AZ5" s="10">
        <f t="shared" si="5"/>
        <v>1200</v>
      </c>
      <c r="BA5" s="10">
        <f t="shared" si="6"/>
        <v>1200</v>
      </c>
      <c r="BB5" s="10">
        <f t="shared" si="7"/>
        <v>0</v>
      </c>
      <c r="BC5" s="10">
        <f t="shared" si="8"/>
        <v>1200</v>
      </c>
      <c r="BD5" s="10">
        <f t="shared" si="8"/>
        <v>0</v>
      </c>
      <c r="BE5" s="10">
        <f t="shared" si="8"/>
        <v>0</v>
      </c>
      <c r="BF5" s="10">
        <f t="shared" si="9"/>
        <v>400</v>
      </c>
      <c r="BG5" s="10">
        <f t="shared" si="10"/>
        <v>0</v>
      </c>
      <c r="BH5" s="10">
        <f t="shared" ref="BH5:BH31" si="67">BF5+BG5</f>
        <v>400</v>
      </c>
      <c r="BI5" s="10"/>
      <c r="BJ5" s="10"/>
      <c r="BK5" s="10"/>
      <c r="BL5" s="10"/>
      <c r="BM5" s="10"/>
      <c r="BN5" s="113">
        <f>AR5/VLOOKUP(AP5,References!$A$3:$C$53,2,FALSE)</f>
        <v>4.8280024140012068E-4</v>
      </c>
      <c r="BO5" s="113">
        <f t="shared" ref="BO5:BO31" si="68">(IF(ISNUMBER(BN5),BN5,0))</f>
        <v>4.8280024140012068E-4</v>
      </c>
      <c r="BP5" s="113">
        <f t="shared" si="11"/>
        <v>9.6560048280024135E-4</v>
      </c>
      <c r="BQ5" s="113">
        <f>((R5*(VLOOKUP(Q5,References!$A$57:$D$110,2,FALSE))%)+(S5*(VLOOKUP(Q5,References!$A$57:$D$110,2,FALSE))%)*(CW5+DA5+DM5))</f>
        <v>0</v>
      </c>
      <c r="BR5" s="113">
        <f>((R5*(VLOOKUP(Q5,References!$A$57:$D$110,3,FALSE))%)+(S5*(VLOOKUP(Q5,References!$A$57:$D$110,3,FALSE))%)*(CW5+DA5+DM5))</f>
        <v>0</v>
      </c>
      <c r="BS5" s="113">
        <f>((R5*(VLOOKUP(Q5,References!$A$57:$D$110,4,FALSE))%)+(S5*(VLOOKUP(Q5,References!$A$57:$D$110,4,FALSE))%)*(CW5+DA5+DM5))</f>
        <v>0</v>
      </c>
      <c r="BT5" s="10">
        <f>((((R5+S5)/100)*VLOOKUP(Q5,References!$A$58:$M$110,13,FALSE))*(CW5+DA5+DM5))</f>
        <v>0</v>
      </c>
      <c r="BU5" s="10">
        <f>(AR5/1000)*VLOOKUP(AP5,References!$A$4:$P$54,11,FALSE)</f>
        <v>0</v>
      </c>
      <c r="BV5" s="10">
        <f>(AR5/1000)*VLOOKUP(AP5,References!$A$4:$P$54,12,FALSE)</f>
        <v>0</v>
      </c>
      <c r="BW5" s="10">
        <f>(AR5/1000)*VLOOKUP(AP5,References!$A$4:$P$54,13,FALSE)</f>
        <v>0</v>
      </c>
      <c r="BX5" s="113">
        <f t="shared" ref="BX5:BZ31" si="69">(IF(ISNUMBER(BU5),BU5,0))</f>
        <v>0</v>
      </c>
      <c r="BY5" s="113">
        <f t="shared" si="12"/>
        <v>0</v>
      </c>
      <c r="BZ5" s="113">
        <f t="shared" si="12"/>
        <v>0</v>
      </c>
      <c r="CA5" s="113">
        <f t="shared" si="13"/>
        <v>0</v>
      </c>
      <c r="CB5" s="113">
        <f t="shared" si="14"/>
        <v>0</v>
      </c>
      <c r="CC5" s="113">
        <f t="shared" si="15"/>
        <v>0</v>
      </c>
      <c r="CD5" s="113">
        <f t="shared" si="16"/>
        <v>0</v>
      </c>
      <c r="CE5" s="113">
        <f t="shared" si="17"/>
        <v>0</v>
      </c>
      <c r="CF5" s="113">
        <f t="shared" si="18"/>
        <v>0</v>
      </c>
      <c r="CG5" s="113"/>
      <c r="CH5" s="113"/>
      <c r="CI5" s="113"/>
      <c r="CJ5" s="113"/>
      <c r="CK5" s="113"/>
      <c r="CL5" s="113"/>
      <c r="CM5" s="113">
        <f t="shared" si="19"/>
        <v>0</v>
      </c>
      <c r="CN5" s="113" t="e">
        <f>R5*VLOOKUP(Q5,References!$A$86:$E$158,2,FALSE)+S5*VLOOKUP(Q5,References!$A$86:$E$158,2,FALSE)</f>
        <v>#N/A</v>
      </c>
      <c r="CO5" s="113" t="e">
        <f>((VLOOKUP(Q5,References!$A$86:$E$158,3,FALSE)-(CN5/C$7))/(VLOOKUP(Q5,References!$A$86:$E$158,3,FALSE)))</f>
        <v>#N/A</v>
      </c>
      <c r="CP5" s="101" t="e">
        <f t="shared" ref="CP5:CP31" si="70">1-CO5</f>
        <v>#N/A</v>
      </c>
      <c r="CQ5" s="113">
        <f t="shared" ref="CQ5:CQ31" si="71">(IF(ISNUMBER(CN5),CN5,0))</f>
        <v>0</v>
      </c>
      <c r="CR5" s="113">
        <f t="shared" si="20"/>
        <v>0</v>
      </c>
      <c r="CS5" s="113">
        <f t="shared" si="20"/>
        <v>0</v>
      </c>
      <c r="CT5" s="113"/>
      <c r="CU5" s="10"/>
      <c r="CV5" s="10"/>
      <c r="CW5" s="7">
        <f t="shared" ref="CW5:CW31" si="72">IF($D5="Land preparation",1,0)</f>
        <v>1</v>
      </c>
      <c r="CX5" s="7">
        <f t="shared" si="21"/>
        <v>1200</v>
      </c>
      <c r="CY5" s="7">
        <f t="shared" si="22"/>
        <v>0</v>
      </c>
      <c r="CZ5" s="7">
        <f t="shared" si="23"/>
        <v>0</v>
      </c>
      <c r="DA5" s="7">
        <f t="shared" ref="DA5:DA31" si="73">IF($D5="Basal manuring",1,0)</f>
        <v>0</v>
      </c>
      <c r="DB5" s="7">
        <f t="shared" si="24"/>
        <v>0</v>
      </c>
      <c r="DC5" s="7">
        <f t="shared" si="25"/>
        <v>0</v>
      </c>
      <c r="DD5" s="7">
        <f t="shared" si="26"/>
        <v>0</v>
      </c>
      <c r="DE5" s="7">
        <f t="shared" ref="DE5:DE31" si="74">IF($D5="Sowing",1,0)</f>
        <v>0</v>
      </c>
      <c r="DF5" s="7">
        <f t="shared" si="27"/>
        <v>0</v>
      </c>
      <c r="DG5" s="7">
        <f t="shared" si="28"/>
        <v>0</v>
      </c>
      <c r="DH5" s="7">
        <f t="shared" si="29"/>
        <v>0</v>
      </c>
      <c r="DI5" s="7">
        <f t="shared" ref="DI5:DI31" si="75">IF($D5="Irrigation",1,0)</f>
        <v>0</v>
      </c>
      <c r="DJ5" s="7">
        <f t="shared" si="30"/>
        <v>0</v>
      </c>
      <c r="DK5" s="7">
        <f t="shared" si="31"/>
        <v>0</v>
      </c>
      <c r="DL5" s="7">
        <f t="shared" si="32"/>
        <v>0</v>
      </c>
      <c r="DM5" s="7">
        <f t="shared" ref="DM5:DM31" si="76">IF($D5="Top dressing",1,0)</f>
        <v>0</v>
      </c>
      <c r="DN5" s="7">
        <f t="shared" si="33"/>
        <v>0</v>
      </c>
      <c r="DO5" s="7">
        <f t="shared" si="34"/>
        <v>0</v>
      </c>
      <c r="DP5" s="7">
        <f t="shared" si="35"/>
        <v>0</v>
      </c>
      <c r="DQ5" s="7">
        <f t="shared" ref="DQ5:DQ31" si="77">IF($D5="Weed management",1,0)</f>
        <v>0</v>
      </c>
      <c r="DR5" s="7">
        <f t="shared" si="36"/>
        <v>0</v>
      </c>
      <c r="DS5" s="7">
        <f t="shared" si="37"/>
        <v>0</v>
      </c>
      <c r="DT5" s="7">
        <f t="shared" si="38"/>
        <v>0</v>
      </c>
      <c r="DU5" s="7">
        <f t="shared" ref="DU5:DU31" si="78">IF($D5="Pest management",1,0)</f>
        <v>0</v>
      </c>
      <c r="DV5" s="7">
        <f t="shared" si="39"/>
        <v>0</v>
      </c>
      <c r="DW5" s="7">
        <f t="shared" si="40"/>
        <v>0</v>
      </c>
      <c r="DX5" s="7">
        <f t="shared" si="41"/>
        <v>0</v>
      </c>
      <c r="DY5" s="7">
        <f t="shared" ref="DY5:DY31" si="79">IF($D5="Harvesting",1,0)</f>
        <v>0</v>
      </c>
      <c r="DZ5" s="7">
        <f t="shared" si="42"/>
        <v>0</v>
      </c>
      <c r="EA5" s="7">
        <f t="shared" si="43"/>
        <v>0</v>
      </c>
      <c r="EB5" s="7">
        <f t="shared" si="44"/>
        <v>0</v>
      </c>
      <c r="EC5" s="7">
        <f t="shared" ref="EC5:EC31" si="80">IF($D5="Post harvesting",1,0)</f>
        <v>0</v>
      </c>
      <c r="ED5" s="7">
        <f t="shared" si="45"/>
        <v>0</v>
      </c>
      <c r="EE5" s="7">
        <f t="shared" si="46"/>
        <v>0</v>
      </c>
      <c r="EF5" s="7">
        <f t="shared" si="47"/>
        <v>0</v>
      </c>
      <c r="EG5" s="7">
        <f t="shared" ref="EG5:EG31" si="81">IF($D5="Transportation",1,0)</f>
        <v>0</v>
      </c>
      <c r="EH5" s="7">
        <f t="shared" si="48"/>
        <v>0</v>
      </c>
      <c r="EI5" s="7">
        <f t="shared" si="49"/>
        <v>0</v>
      </c>
      <c r="EJ5" s="7">
        <f t="shared" si="50"/>
        <v>0</v>
      </c>
      <c r="EK5" s="7">
        <f t="shared" ref="EK5:EK31" si="82">IF($P5="Organic",1,0)</f>
        <v>1</v>
      </c>
      <c r="EL5" s="7">
        <f t="shared" si="51"/>
        <v>0</v>
      </c>
      <c r="EM5" s="7"/>
      <c r="EN5" s="63">
        <f t="shared" ref="EN5:EN30" si="83">IF($E5="Maincrop",1,0)</f>
        <v>1</v>
      </c>
      <c r="EO5" s="63">
        <f t="shared" ref="EO5:EO30" si="84">IF($E5="Intercrops",1,0)</f>
        <v>0</v>
      </c>
      <c r="EP5" s="62" t="str">
        <f>IF(OR($AQ5="Maincrop: Yield",$AQ5="Maincrop: Byproduct"),"1","0")</f>
        <v>1</v>
      </c>
      <c r="EQ5" s="63" t="str">
        <f t="shared" ref="EQ5:EQ30" si="85">IF(OR($AQ5="Intercrop: Yield",$AQ5="Intercrop: Byproduct"),"1","0")</f>
        <v>0</v>
      </c>
    </row>
    <row r="6" spans="1:147" x14ac:dyDescent="0.25">
      <c r="B6" s="266" t="s">
        <v>217</v>
      </c>
      <c r="C6" s="264" t="s">
        <v>1</v>
      </c>
      <c r="D6" s="84" t="s">
        <v>5</v>
      </c>
      <c r="E6" s="84" t="s">
        <v>38</v>
      </c>
      <c r="F6" s="84" t="s">
        <v>26</v>
      </c>
      <c r="G6" s="84" t="s">
        <v>1</v>
      </c>
      <c r="H6" s="16"/>
      <c r="I6" s="6"/>
      <c r="J6" s="6"/>
      <c r="K6" s="6"/>
      <c r="L6" s="6"/>
      <c r="M6" s="19">
        <f t="shared" si="52"/>
        <v>0</v>
      </c>
      <c r="N6" s="19">
        <f t="shared" si="0"/>
        <v>0</v>
      </c>
      <c r="O6" s="9" t="s">
        <v>247</v>
      </c>
      <c r="P6" s="9" t="s">
        <v>120</v>
      </c>
      <c r="Q6" s="9" t="s">
        <v>213</v>
      </c>
      <c r="R6" s="9">
        <v>700</v>
      </c>
      <c r="T6" s="1">
        <v>1.33</v>
      </c>
      <c r="U6" s="4">
        <f t="shared" si="53"/>
        <v>931</v>
      </c>
      <c r="V6" s="1">
        <v>1</v>
      </c>
      <c r="X6" s="1">
        <v>300</v>
      </c>
      <c r="Y6" s="1">
        <v>1</v>
      </c>
      <c r="AA6" s="1">
        <v>150</v>
      </c>
      <c r="AB6" s="5">
        <f t="shared" si="54"/>
        <v>300</v>
      </c>
      <c r="AC6" s="5">
        <f t="shared" si="55"/>
        <v>150</v>
      </c>
      <c r="AD6" s="5">
        <f t="shared" si="1"/>
        <v>450</v>
      </c>
      <c r="AE6" s="43">
        <f t="shared" si="2"/>
        <v>1381</v>
      </c>
      <c r="AF6" s="3">
        <f t="shared" si="56"/>
        <v>0</v>
      </c>
      <c r="AG6" s="3">
        <f t="shared" si="57"/>
        <v>0</v>
      </c>
      <c r="AH6" s="3">
        <f t="shared" si="58"/>
        <v>0</v>
      </c>
      <c r="AI6" s="3">
        <f t="shared" si="59"/>
        <v>0</v>
      </c>
      <c r="AJ6" s="3">
        <f t="shared" si="60"/>
        <v>0</v>
      </c>
      <c r="AK6" s="3">
        <f t="shared" si="61"/>
        <v>0</v>
      </c>
      <c r="AL6" s="3">
        <f t="shared" si="62"/>
        <v>931</v>
      </c>
      <c r="AM6" s="3">
        <f t="shared" si="63"/>
        <v>300</v>
      </c>
      <c r="AN6" s="3">
        <f t="shared" si="64"/>
        <v>150</v>
      </c>
      <c r="AO6" s="54">
        <f t="shared" si="65"/>
        <v>1381</v>
      </c>
      <c r="AP6" s="1" t="s">
        <v>162</v>
      </c>
      <c r="AQ6" t="s">
        <v>44</v>
      </c>
      <c r="AR6" s="1">
        <v>15</v>
      </c>
      <c r="AT6" s="1">
        <v>15</v>
      </c>
      <c r="AU6" s="104">
        <f t="shared" si="66"/>
        <v>0</v>
      </c>
      <c r="AV6" s="104">
        <f t="shared" si="3"/>
        <v>225</v>
      </c>
      <c r="AW6" s="79"/>
      <c r="AY6" s="10">
        <f t="shared" si="4"/>
        <v>2762</v>
      </c>
      <c r="AZ6" s="10">
        <f t="shared" si="5"/>
        <v>0</v>
      </c>
      <c r="BA6" s="10">
        <f t="shared" si="6"/>
        <v>2762</v>
      </c>
      <c r="BB6" s="10">
        <f t="shared" si="7"/>
        <v>0</v>
      </c>
      <c r="BC6" s="10">
        <f t="shared" si="8"/>
        <v>0</v>
      </c>
      <c r="BD6" s="10">
        <f t="shared" si="8"/>
        <v>1862</v>
      </c>
      <c r="BE6" s="10">
        <f t="shared" si="8"/>
        <v>900</v>
      </c>
      <c r="BF6" s="10">
        <f t="shared" si="9"/>
        <v>0</v>
      </c>
      <c r="BG6" s="10">
        <f t="shared" si="10"/>
        <v>450</v>
      </c>
      <c r="BH6" s="10">
        <f t="shared" si="67"/>
        <v>450</v>
      </c>
      <c r="BI6" s="10"/>
      <c r="BJ6" s="10"/>
      <c r="BK6" s="10"/>
      <c r="BL6" s="10"/>
      <c r="BM6" s="10"/>
      <c r="BN6" s="113">
        <f>AR6/VLOOKUP(AP6,References!$A$3:$C$53,2,FALSE)</f>
        <v>5.3630575434622182E-4</v>
      </c>
      <c r="BO6" s="113">
        <f t="shared" si="68"/>
        <v>5.3630575434622182E-4</v>
      </c>
      <c r="BP6" s="113">
        <f t="shared" si="11"/>
        <v>1.0726115086924436E-3</v>
      </c>
      <c r="BQ6" s="113">
        <f>((R6*(VLOOKUP(Q6,References!$A$57:$D$110,2,FALSE))%)+(S6*(VLOOKUP(Q6,References!$A$57:$D$110,2,FALSE))%)*(CW6+DA6+DM6))</f>
        <v>3.1500000000000004</v>
      </c>
      <c r="BR6" s="113">
        <f>((R6*(VLOOKUP(Q6,References!$A$57:$D$110,3,FALSE))%)+(S6*(VLOOKUP(Q6,References!$A$57:$D$110,3,FALSE))%)*(CW6+DA6+DM6))</f>
        <v>2.4499999999999997</v>
      </c>
      <c r="BS6" s="113">
        <f>((R6*(VLOOKUP(Q6,References!$A$57:$D$110,4,FALSE))%)+(S6*(VLOOKUP(Q6,References!$A$57:$D$110,4,FALSE))%)*(CW6+DA6+DM6))</f>
        <v>2.4499999999999997</v>
      </c>
      <c r="BT6" s="10">
        <f>((((R6+S6)/100)*VLOOKUP(Q6,References!$A$58:$M$110,13,FALSE))*(CW6+DA6+DM6))</f>
        <v>0</v>
      </c>
      <c r="BU6" s="10">
        <f>(AR6/1000)*VLOOKUP(AP6,References!$A$4:$P$54,11,FALSE)</f>
        <v>0</v>
      </c>
      <c r="BV6" s="10">
        <f>(AR6/1000)*VLOOKUP(AP6,References!$A$4:$P$54,12,FALSE)</f>
        <v>0</v>
      </c>
      <c r="BW6" s="10">
        <f>(AR6/1000)*VLOOKUP(AP6,References!$A$4:$P$54,13,FALSE)</f>
        <v>0</v>
      </c>
      <c r="BX6" s="113">
        <f t="shared" si="69"/>
        <v>0</v>
      </c>
      <c r="BY6" s="113">
        <f t="shared" si="12"/>
        <v>0</v>
      </c>
      <c r="BZ6" s="113">
        <f t="shared" si="12"/>
        <v>0</v>
      </c>
      <c r="CA6" s="113">
        <f t="shared" si="13"/>
        <v>6.3000000000000007</v>
      </c>
      <c r="CB6" s="113">
        <f t="shared" si="14"/>
        <v>4.8999999999999995</v>
      </c>
      <c r="CC6" s="113">
        <f t="shared" si="15"/>
        <v>4.8999999999999995</v>
      </c>
      <c r="CD6" s="113">
        <f t="shared" si="16"/>
        <v>0</v>
      </c>
      <c r="CE6" s="113">
        <f t="shared" si="17"/>
        <v>0</v>
      </c>
      <c r="CF6" s="113">
        <f t="shared" si="18"/>
        <v>0</v>
      </c>
      <c r="CG6" s="113"/>
      <c r="CH6" s="113"/>
      <c r="CI6" s="113"/>
      <c r="CJ6" s="113"/>
      <c r="CK6" s="113"/>
      <c r="CL6" s="113"/>
      <c r="CM6" s="113">
        <f t="shared" si="19"/>
        <v>0</v>
      </c>
      <c r="CN6" s="113" t="e">
        <f>R6*VLOOKUP(Q6,References!$A$86:$E$158,2,FALSE)+S6*VLOOKUP(Q6,References!$A$86:$E$158,2,FALSE)</f>
        <v>#N/A</v>
      </c>
      <c r="CO6" s="113" t="e">
        <f>((VLOOKUP(Q6,References!$A$86:$E$158,3,FALSE)-(CN6/C$7))/(VLOOKUP(Q6,References!$A$86:$E$158,3,FALSE)))</f>
        <v>#N/A</v>
      </c>
      <c r="CP6" s="101" t="e">
        <f t="shared" si="70"/>
        <v>#N/A</v>
      </c>
      <c r="CQ6" s="113">
        <f t="shared" si="71"/>
        <v>0</v>
      </c>
      <c r="CR6" s="113">
        <f t="shared" si="20"/>
        <v>0</v>
      </c>
      <c r="CS6" s="113">
        <f t="shared" si="20"/>
        <v>0</v>
      </c>
      <c r="CT6" s="113"/>
      <c r="CU6" s="10"/>
      <c r="CV6" s="10"/>
      <c r="CW6" s="7">
        <f t="shared" si="72"/>
        <v>0</v>
      </c>
      <c r="CX6" s="7">
        <f t="shared" si="21"/>
        <v>0</v>
      </c>
      <c r="CY6" s="7">
        <f t="shared" si="22"/>
        <v>0</v>
      </c>
      <c r="CZ6" s="7">
        <f t="shared" si="23"/>
        <v>0</v>
      </c>
      <c r="DA6" s="7">
        <f t="shared" si="73"/>
        <v>1</v>
      </c>
      <c r="DB6" s="7">
        <f t="shared" si="24"/>
        <v>0</v>
      </c>
      <c r="DC6" s="7">
        <f t="shared" si="25"/>
        <v>1862</v>
      </c>
      <c r="DD6" s="7">
        <f t="shared" si="26"/>
        <v>900</v>
      </c>
      <c r="DE6" s="7">
        <f t="shared" si="74"/>
        <v>0</v>
      </c>
      <c r="DF6" s="7">
        <f t="shared" si="27"/>
        <v>0</v>
      </c>
      <c r="DG6" s="7">
        <f t="shared" si="28"/>
        <v>0</v>
      </c>
      <c r="DH6" s="7">
        <f t="shared" si="29"/>
        <v>0</v>
      </c>
      <c r="DI6" s="7">
        <f t="shared" si="75"/>
        <v>0</v>
      </c>
      <c r="DJ6" s="7">
        <f t="shared" si="30"/>
        <v>0</v>
      </c>
      <c r="DK6" s="7">
        <f t="shared" si="31"/>
        <v>0</v>
      </c>
      <c r="DL6" s="7">
        <f t="shared" si="32"/>
        <v>0</v>
      </c>
      <c r="DM6" s="7">
        <f t="shared" si="76"/>
        <v>0</v>
      </c>
      <c r="DN6" s="7">
        <f t="shared" si="33"/>
        <v>0</v>
      </c>
      <c r="DO6" s="7">
        <f t="shared" si="34"/>
        <v>0</v>
      </c>
      <c r="DP6" s="7">
        <f t="shared" si="35"/>
        <v>0</v>
      </c>
      <c r="DQ6" s="7">
        <f t="shared" si="77"/>
        <v>0</v>
      </c>
      <c r="DR6" s="7">
        <f t="shared" si="36"/>
        <v>0</v>
      </c>
      <c r="DS6" s="7">
        <f t="shared" si="37"/>
        <v>0</v>
      </c>
      <c r="DT6" s="7">
        <f t="shared" si="38"/>
        <v>0</v>
      </c>
      <c r="DU6" s="7">
        <f t="shared" si="78"/>
        <v>0</v>
      </c>
      <c r="DV6" s="7">
        <f t="shared" si="39"/>
        <v>0</v>
      </c>
      <c r="DW6" s="7">
        <f t="shared" si="40"/>
        <v>0</v>
      </c>
      <c r="DX6" s="7">
        <f t="shared" si="41"/>
        <v>0</v>
      </c>
      <c r="DY6" s="7">
        <f t="shared" si="79"/>
        <v>0</v>
      </c>
      <c r="DZ6" s="7">
        <f t="shared" si="42"/>
        <v>0</v>
      </c>
      <c r="EA6" s="7">
        <f t="shared" si="43"/>
        <v>0</v>
      </c>
      <c r="EB6" s="7">
        <f t="shared" si="44"/>
        <v>0</v>
      </c>
      <c r="EC6" s="7">
        <f t="shared" si="80"/>
        <v>0</v>
      </c>
      <c r="ED6" s="7">
        <f t="shared" si="45"/>
        <v>0</v>
      </c>
      <c r="EE6" s="7">
        <f t="shared" si="46"/>
        <v>0</v>
      </c>
      <c r="EF6" s="7">
        <f t="shared" si="47"/>
        <v>0</v>
      </c>
      <c r="EG6" s="7">
        <f t="shared" si="81"/>
        <v>0</v>
      </c>
      <c r="EH6" s="7">
        <f t="shared" si="48"/>
        <v>0</v>
      </c>
      <c r="EI6" s="7">
        <f t="shared" si="49"/>
        <v>0</v>
      </c>
      <c r="EJ6" s="7">
        <f t="shared" si="50"/>
        <v>0</v>
      </c>
      <c r="EK6" s="7">
        <f t="shared" si="82"/>
        <v>1</v>
      </c>
      <c r="EL6" s="7">
        <f t="shared" si="51"/>
        <v>1862</v>
      </c>
      <c r="EM6" s="7"/>
      <c r="EN6" s="63">
        <f t="shared" si="83"/>
        <v>1</v>
      </c>
      <c r="EO6" s="63">
        <f t="shared" si="84"/>
        <v>0</v>
      </c>
      <c r="EP6" s="63" t="str">
        <f t="shared" ref="EP6:EP30" si="86">IF(OR($AQ6="Maincrop: Yield",$AQ6="Maincrop: Byproduct"),"1","0")</f>
        <v>0</v>
      </c>
      <c r="EQ6" s="63" t="str">
        <f t="shared" si="85"/>
        <v>1</v>
      </c>
    </row>
    <row r="7" spans="1:147" x14ac:dyDescent="0.25">
      <c r="B7" s="260" t="s">
        <v>379</v>
      </c>
      <c r="C7" s="261">
        <v>0.5</v>
      </c>
      <c r="D7" s="84" t="s">
        <v>33</v>
      </c>
      <c r="E7" s="84" t="s">
        <v>38</v>
      </c>
      <c r="F7" s="84" t="s">
        <v>28</v>
      </c>
      <c r="G7" s="84" t="s">
        <v>1</v>
      </c>
      <c r="H7" s="16"/>
      <c r="I7" s="6"/>
      <c r="J7" s="6"/>
      <c r="K7" s="6"/>
      <c r="L7" s="6"/>
      <c r="M7" s="19">
        <f t="shared" si="52"/>
        <v>0</v>
      </c>
      <c r="N7" s="19">
        <f t="shared" si="0"/>
        <v>0</v>
      </c>
      <c r="O7" s="9" t="s">
        <v>225</v>
      </c>
      <c r="P7" s="9" t="s">
        <v>120</v>
      </c>
      <c r="Q7" s="9" t="s">
        <v>212</v>
      </c>
      <c r="R7" s="9">
        <v>200</v>
      </c>
      <c r="T7" s="1">
        <v>50</v>
      </c>
      <c r="U7" s="4">
        <f t="shared" si="53"/>
        <v>10000</v>
      </c>
      <c r="V7" s="1">
        <v>1</v>
      </c>
      <c r="X7" s="1">
        <v>300</v>
      </c>
      <c r="Y7" s="1">
        <v>2</v>
      </c>
      <c r="Z7" s="1">
        <v>2</v>
      </c>
      <c r="AA7" s="1">
        <v>150</v>
      </c>
      <c r="AB7" s="5">
        <f t="shared" si="54"/>
        <v>300</v>
      </c>
      <c r="AC7" s="5">
        <f t="shared" si="55"/>
        <v>600</v>
      </c>
      <c r="AD7" s="5">
        <f t="shared" si="1"/>
        <v>900</v>
      </c>
      <c r="AE7" s="43">
        <f t="shared" si="2"/>
        <v>10900</v>
      </c>
      <c r="AF7" s="3">
        <f t="shared" si="56"/>
        <v>0</v>
      </c>
      <c r="AG7" s="3">
        <f t="shared" si="57"/>
        <v>0</v>
      </c>
      <c r="AH7" s="3">
        <f t="shared" si="58"/>
        <v>0</v>
      </c>
      <c r="AI7" s="3">
        <f t="shared" si="59"/>
        <v>300</v>
      </c>
      <c r="AJ7" s="3">
        <f t="shared" si="60"/>
        <v>300</v>
      </c>
      <c r="AK7" s="3">
        <f t="shared" si="61"/>
        <v>0</v>
      </c>
      <c r="AL7" s="3">
        <f t="shared" si="62"/>
        <v>10000</v>
      </c>
      <c r="AM7" s="3">
        <f t="shared" si="63"/>
        <v>300</v>
      </c>
      <c r="AN7" s="3">
        <f t="shared" si="64"/>
        <v>300</v>
      </c>
      <c r="AO7" s="54">
        <f t="shared" si="65"/>
        <v>10600</v>
      </c>
      <c r="AP7" s="1" t="s">
        <v>110</v>
      </c>
      <c r="AQ7" t="s">
        <v>44</v>
      </c>
      <c r="AR7" s="1">
        <v>8</v>
      </c>
      <c r="AT7" s="1">
        <v>35</v>
      </c>
      <c r="AU7" s="104">
        <f t="shared" si="66"/>
        <v>0</v>
      </c>
      <c r="AV7" s="104">
        <f t="shared" si="3"/>
        <v>280</v>
      </c>
      <c r="AW7" s="79"/>
      <c r="AY7" s="10">
        <f t="shared" si="4"/>
        <v>21800</v>
      </c>
      <c r="AZ7" s="10">
        <f t="shared" si="5"/>
        <v>600</v>
      </c>
      <c r="BA7" s="10">
        <f t="shared" si="6"/>
        <v>21800</v>
      </c>
      <c r="BB7" s="10">
        <f t="shared" si="7"/>
        <v>0</v>
      </c>
      <c r="BC7" s="10">
        <f t="shared" si="8"/>
        <v>0</v>
      </c>
      <c r="BD7" s="10">
        <f t="shared" si="8"/>
        <v>20000</v>
      </c>
      <c r="BE7" s="10">
        <f t="shared" si="8"/>
        <v>1800</v>
      </c>
      <c r="BF7" s="10">
        <f t="shared" si="9"/>
        <v>0</v>
      </c>
      <c r="BG7" s="10">
        <f t="shared" si="10"/>
        <v>560</v>
      </c>
      <c r="BH7" s="10">
        <f t="shared" si="67"/>
        <v>560</v>
      </c>
      <c r="BI7" s="10"/>
      <c r="BJ7" s="10"/>
      <c r="BK7" s="10"/>
      <c r="BL7" s="10"/>
      <c r="BM7" s="10"/>
      <c r="BN7" s="113">
        <f>AR7/VLOOKUP(AP7,References!$A$3:$C$53,2,FALSE)</f>
        <v>6.2570783198493296E-4</v>
      </c>
      <c r="BO7" s="113">
        <f t="shared" si="68"/>
        <v>6.2570783198493296E-4</v>
      </c>
      <c r="BP7" s="113">
        <f t="shared" si="11"/>
        <v>1.2514156639698659E-3</v>
      </c>
      <c r="BQ7" s="113">
        <f>((R7*(VLOOKUP(Q7,References!$A$57:$D$110,2,FALSE))%)+(S7*(VLOOKUP(Q7,References!$A$57:$D$110,2,FALSE))%)*(CW7+DA7+DM7))</f>
        <v>0</v>
      </c>
      <c r="BR7" s="113">
        <f>((R7*(VLOOKUP(Q7,References!$A$57:$D$110,3,FALSE))%)+(S7*(VLOOKUP(Q7,References!$A$57:$D$110,3,FALSE))%)*(CW7+DA7+DM7))</f>
        <v>0</v>
      </c>
      <c r="BS7" s="113">
        <f>((R7*(VLOOKUP(Q7,References!$A$57:$D$110,4,FALSE))%)+(S7*(VLOOKUP(Q7,References!$A$57:$D$110,4,FALSE))%)*(CW7+DA7+DM7))</f>
        <v>0</v>
      </c>
      <c r="BT7" s="10">
        <f>((((R7+S7)/100)*VLOOKUP(Q7,References!$A$58:$M$110,13,FALSE))*(CW7+DA7+DM7))</f>
        <v>0</v>
      </c>
      <c r="BU7" s="10">
        <f>(AR7/1000)*VLOOKUP(AP7,References!$A$4:$P$54,11,FALSE)</f>
        <v>0</v>
      </c>
      <c r="BV7" s="10">
        <f>(AR7/1000)*VLOOKUP(AP7,References!$A$4:$P$54,12,FALSE)</f>
        <v>0</v>
      </c>
      <c r="BW7" s="10">
        <f>(AR7/1000)*VLOOKUP(AP7,References!$A$4:$P$54,13,FALSE)</f>
        <v>0</v>
      </c>
      <c r="BX7" s="113">
        <f t="shared" si="69"/>
        <v>0</v>
      </c>
      <c r="BY7" s="113">
        <f t="shared" si="12"/>
        <v>0</v>
      </c>
      <c r="BZ7" s="113">
        <f t="shared" si="12"/>
        <v>0</v>
      </c>
      <c r="CA7" s="113">
        <f t="shared" si="13"/>
        <v>0</v>
      </c>
      <c r="CB7" s="113">
        <f t="shared" si="14"/>
        <v>0</v>
      </c>
      <c r="CC7" s="113">
        <f t="shared" si="15"/>
        <v>0</v>
      </c>
      <c r="CD7" s="113">
        <f t="shared" si="16"/>
        <v>0</v>
      </c>
      <c r="CE7" s="113">
        <f t="shared" si="17"/>
        <v>0</v>
      </c>
      <c r="CF7" s="113">
        <f t="shared" si="18"/>
        <v>0</v>
      </c>
      <c r="CG7" s="113"/>
      <c r="CH7" s="113"/>
      <c r="CI7" s="113"/>
      <c r="CJ7" s="113"/>
      <c r="CK7" s="113"/>
      <c r="CL7" s="113"/>
      <c r="CM7" s="113">
        <f t="shared" si="19"/>
        <v>0</v>
      </c>
      <c r="CN7" s="113" t="e">
        <f>R7*VLOOKUP(Q7,References!$A$86:$E$158,2,FALSE)+S7*VLOOKUP(Q7,References!$A$86:$E$158,2,FALSE)</f>
        <v>#N/A</v>
      </c>
      <c r="CO7" s="113" t="e">
        <f>((VLOOKUP(Q7,References!$A$86:$E$158,3,FALSE)-(CN7/C$7))/(VLOOKUP(Q7,References!$A$86:$E$158,3,FALSE)))</f>
        <v>#N/A</v>
      </c>
      <c r="CP7" s="101" t="e">
        <f t="shared" si="70"/>
        <v>#N/A</v>
      </c>
      <c r="CQ7" s="113">
        <f t="shared" si="71"/>
        <v>0</v>
      </c>
      <c r="CR7" s="113">
        <f t="shared" si="20"/>
        <v>0</v>
      </c>
      <c r="CS7" s="113">
        <f t="shared" si="20"/>
        <v>0</v>
      </c>
      <c r="CT7" s="113"/>
      <c r="CU7" s="10"/>
      <c r="CV7" s="10"/>
      <c r="CW7" s="7">
        <f t="shared" si="72"/>
        <v>0</v>
      </c>
      <c r="CX7" s="7">
        <f t="shared" si="21"/>
        <v>0</v>
      </c>
      <c r="CY7" s="7">
        <f t="shared" si="22"/>
        <v>0</v>
      </c>
      <c r="CZ7" s="7">
        <f t="shared" si="23"/>
        <v>0</v>
      </c>
      <c r="DA7" s="7">
        <f t="shared" si="73"/>
        <v>0</v>
      </c>
      <c r="DB7" s="7">
        <f t="shared" si="24"/>
        <v>0</v>
      </c>
      <c r="DC7" s="7">
        <f t="shared" si="25"/>
        <v>0</v>
      </c>
      <c r="DD7" s="7">
        <f t="shared" si="26"/>
        <v>0</v>
      </c>
      <c r="DE7" s="7">
        <f t="shared" si="74"/>
        <v>1</v>
      </c>
      <c r="DF7" s="7">
        <f t="shared" si="27"/>
        <v>0</v>
      </c>
      <c r="DG7" s="7">
        <f t="shared" si="28"/>
        <v>20000</v>
      </c>
      <c r="DH7" s="7">
        <f t="shared" si="29"/>
        <v>1800</v>
      </c>
      <c r="DI7" s="7">
        <f t="shared" si="75"/>
        <v>0</v>
      </c>
      <c r="DJ7" s="7">
        <f t="shared" si="30"/>
        <v>0</v>
      </c>
      <c r="DK7" s="7">
        <f t="shared" si="31"/>
        <v>0</v>
      </c>
      <c r="DL7" s="7">
        <f t="shared" si="32"/>
        <v>0</v>
      </c>
      <c r="DM7" s="7">
        <f t="shared" si="76"/>
        <v>0</v>
      </c>
      <c r="DN7" s="7">
        <f t="shared" si="33"/>
        <v>0</v>
      </c>
      <c r="DO7" s="7">
        <f t="shared" si="34"/>
        <v>0</v>
      </c>
      <c r="DP7" s="7">
        <f t="shared" si="35"/>
        <v>0</v>
      </c>
      <c r="DQ7" s="7">
        <f t="shared" si="77"/>
        <v>0</v>
      </c>
      <c r="DR7" s="7">
        <f t="shared" si="36"/>
        <v>0</v>
      </c>
      <c r="DS7" s="7">
        <f t="shared" si="37"/>
        <v>0</v>
      </c>
      <c r="DT7" s="7">
        <f t="shared" si="38"/>
        <v>0</v>
      </c>
      <c r="DU7" s="7">
        <f t="shared" si="78"/>
        <v>0</v>
      </c>
      <c r="DV7" s="7">
        <f t="shared" si="39"/>
        <v>0</v>
      </c>
      <c r="DW7" s="7">
        <f t="shared" si="40"/>
        <v>0</v>
      </c>
      <c r="DX7" s="7">
        <f t="shared" si="41"/>
        <v>0</v>
      </c>
      <c r="DY7" s="7">
        <f t="shared" si="79"/>
        <v>0</v>
      </c>
      <c r="DZ7" s="7">
        <f t="shared" si="42"/>
        <v>0</v>
      </c>
      <c r="EA7" s="7">
        <f t="shared" si="43"/>
        <v>0</v>
      </c>
      <c r="EB7" s="7">
        <f t="shared" si="44"/>
        <v>0</v>
      </c>
      <c r="EC7" s="7">
        <f t="shared" si="80"/>
        <v>0</v>
      </c>
      <c r="ED7" s="7">
        <f t="shared" si="45"/>
        <v>0</v>
      </c>
      <c r="EE7" s="7">
        <f t="shared" si="46"/>
        <v>0</v>
      </c>
      <c r="EF7" s="7">
        <f t="shared" si="47"/>
        <v>0</v>
      </c>
      <c r="EG7" s="7">
        <f t="shared" si="81"/>
        <v>0</v>
      </c>
      <c r="EH7" s="7">
        <f t="shared" si="48"/>
        <v>0</v>
      </c>
      <c r="EI7" s="7">
        <f t="shared" si="49"/>
        <v>0</v>
      </c>
      <c r="EJ7" s="7">
        <f t="shared" si="50"/>
        <v>0</v>
      </c>
      <c r="EK7" s="7">
        <f t="shared" si="82"/>
        <v>1</v>
      </c>
      <c r="EL7" s="7">
        <f t="shared" si="51"/>
        <v>20000</v>
      </c>
      <c r="EM7" s="7"/>
      <c r="EN7" s="63">
        <f t="shared" si="83"/>
        <v>1</v>
      </c>
      <c r="EO7" s="63">
        <f t="shared" si="84"/>
        <v>0</v>
      </c>
      <c r="EP7" s="63" t="str">
        <f t="shared" si="86"/>
        <v>0</v>
      </c>
      <c r="EQ7" s="63" t="str">
        <f t="shared" si="85"/>
        <v>1</v>
      </c>
    </row>
    <row r="8" spans="1:147" x14ac:dyDescent="0.25">
      <c r="A8" s="13"/>
      <c r="C8" s="8"/>
      <c r="D8" s="84" t="s">
        <v>33</v>
      </c>
      <c r="E8" s="84" t="s">
        <v>13</v>
      </c>
      <c r="F8" s="84" t="s">
        <v>28</v>
      </c>
      <c r="G8" s="84" t="s">
        <v>75</v>
      </c>
      <c r="H8" s="16"/>
      <c r="I8" s="6"/>
      <c r="J8" s="6"/>
      <c r="K8" s="6"/>
      <c r="L8" s="6"/>
      <c r="M8" s="19">
        <f t="shared" si="52"/>
        <v>0</v>
      </c>
      <c r="N8" s="19">
        <f t="shared" si="0"/>
        <v>0</v>
      </c>
      <c r="O8" s="9" t="s">
        <v>75</v>
      </c>
      <c r="P8" s="9" t="s">
        <v>98</v>
      </c>
      <c r="Q8" s="9" t="s">
        <v>212</v>
      </c>
      <c r="R8" s="9"/>
      <c r="S8" s="1">
        <v>2</v>
      </c>
      <c r="T8" s="1">
        <v>20</v>
      </c>
      <c r="U8" s="4">
        <f t="shared" si="53"/>
        <v>40</v>
      </c>
      <c r="X8" s="1">
        <v>300</v>
      </c>
      <c r="AA8" s="1">
        <v>150</v>
      </c>
      <c r="AB8" s="5">
        <f t="shared" si="54"/>
        <v>0</v>
      </c>
      <c r="AC8" s="5">
        <f t="shared" si="55"/>
        <v>0</v>
      </c>
      <c r="AD8" s="5">
        <f t="shared" si="1"/>
        <v>0</v>
      </c>
      <c r="AE8" s="43">
        <f t="shared" si="2"/>
        <v>40</v>
      </c>
      <c r="AF8" s="3">
        <f t="shared" si="56"/>
        <v>0</v>
      </c>
      <c r="AG8" s="3">
        <f t="shared" si="57"/>
        <v>40</v>
      </c>
      <c r="AH8" s="3">
        <f t="shared" si="58"/>
        <v>0</v>
      </c>
      <c r="AI8" s="3">
        <f t="shared" si="59"/>
        <v>0</v>
      </c>
      <c r="AJ8" s="3">
        <f t="shared" si="60"/>
        <v>40</v>
      </c>
      <c r="AK8" s="3">
        <f t="shared" si="61"/>
        <v>0</v>
      </c>
      <c r="AL8" s="3">
        <f t="shared" si="62"/>
        <v>0</v>
      </c>
      <c r="AM8" s="3">
        <f t="shared" si="63"/>
        <v>0</v>
      </c>
      <c r="AN8" s="3">
        <f t="shared" si="64"/>
        <v>0</v>
      </c>
      <c r="AO8" s="54">
        <f t="shared" si="65"/>
        <v>0</v>
      </c>
      <c r="AQ8" t="s">
        <v>234</v>
      </c>
      <c r="AU8" s="104">
        <f t="shared" si="66"/>
        <v>0</v>
      </c>
      <c r="AV8" s="104">
        <f t="shared" si="3"/>
        <v>0</v>
      </c>
      <c r="AW8" s="79"/>
      <c r="AY8" s="10">
        <f t="shared" si="4"/>
        <v>80</v>
      </c>
      <c r="AZ8" s="10">
        <f t="shared" si="5"/>
        <v>80</v>
      </c>
      <c r="BA8" s="10">
        <f t="shared" si="6"/>
        <v>0</v>
      </c>
      <c r="BB8" s="10">
        <f t="shared" si="7"/>
        <v>80</v>
      </c>
      <c r="BC8" s="10">
        <f t="shared" si="8"/>
        <v>0</v>
      </c>
      <c r="BD8" s="10">
        <f t="shared" si="8"/>
        <v>80</v>
      </c>
      <c r="BE8" s="10">
        <f t="shared" si="8"/>
        <v>0</v>
      </c>
      <c r="BF8" s="10">
        <f t="shared" si="9"/>
        <v>0</v>
      </c>
      <c r="BG8" s="10">
        <f t="shared" si="10"/>
        <v>0</v>
      </c>
      <c r="BH8" s="10">
        <f t="shared" si="67"/>
        <v>0</v>
      </c>
      <c r="BI8" s="10"/>
      <c r="BJ8" s="10"/>
      <c r="BK8" s="10"/>
      <c r="BL8" s="10"/>
      <c r="BM8" s="10"/>
      <c r="BN8" s="113" t="e">
        <f>AR8/VLOOKUP(AP8,References!$A$3:$C$53,2,FALSE)</f>
        <v>#N/A</v>
      </c>
      <c r="BO8" s="113">
        <f t="shared" si="68"/>
        <v>0</v>
      </c>
      <c r="BP8" s="113">
        <f t="shared" si="11"/>
        <v>0</v>
      </c>
      <c r="BQ8" s="113">
        <f>((R8*(VLOOKUP(Q8,References!$A$57:$D$110,2,FALSE))%)+(S8*(VLOOKUP(Q8,References!$A$57:$D$110,2,FALSE))%)*(CW8+DA8+DM8))</f>
        <v>0</v>
      </c>
      <c r="BR8" s="113">
        <f>((R8*(VLOOKUP(Q8,References!$A$57:$D$110,3,FALSE))%)+(S8*(VLOOKUP(Q8,References!$A$57:$D$110,3,FALSE))%)*(CW8+DA8+DM8))</f>
        <v>0</v>
      </c>
      <c r="BS8" s="113">
        <f>((R8*(VLOOKUP(Q8,References!$A$57:$D$110,4,FALSE))%)+(S8*(VLOOKUP(Q8,References!$A$57:$D$110,4,FALSE))%)*(CW8+DA8+DM8))</f>
        <v>0</v>
      </c>
      <c r="BT8" s="10">
        <f>((((R8+S8)/100)*VLOOKUP(Q8,References!$A$58:$M$110,13,FALSE))*(CW8+DA8+DM8))</f>
        <v>0</v>
      </c>
      <c r="BU8" s="10" t="e">
        <f>(AR8/1000)*VLOOKUP(AP8,References!$A$4:$P$54,11,FALSE)</f>
        <v>#N/A</v>
      </c>
      <c r="BV8" s="10" t="e">
        <f>(AR8/1000)*VLOOKUP(AP8,References!$A$4:$P$54,12,FALSE)</f>
        <v>#N/A</v>
      </c>
      <c r="BW8" s="10" t="e">
        <f>(AR8/1000)*VLOOKUP(AP8,References!$A$4:$P$54,13,FALSE)</f>
        <v>#N/A</v>
      </c>
      <c r="BX8" s="113">
        <f t="shared" si="69"/>
        <v>0</v>
      </c>
      <c r="BY8" s="113">
        <f t="shared" si="12"/>
        <v>0</v>
      </c>
      <c r="BZ8" s="113">
        <f t="shared" si="12"/>
        <v>0</v>
      </c>
      <c r="CA8" s="113">
        <f t="shared" si="13"/>
        <v>0</v>
      </c>
      <c r="CB8" s="113">
        <f t="shared" si="14"/>
        <v>0</v>
      </c>
      <c r="CC8" s="113">
        <f t="shared" si="15"/>
        <v>0</v>
      </c>
      <c r="CD8" s="113">
        <f t="shared" si="16"/>
        <v>0</v>
      </c>
      <c r="CE8" s="113">
        <f t="shared" si="17"/>
        <v>0</v>
      </c>
      <c r="CF8" s="113">
        <f t="shared" si="18"/>
        <v>0</v>
      </c>
      <c r="CG8" s="113"/>
      <c r="CH8" s="113"/>
      <c r="CI8" s="113"/>
      <c r="CJ8" s="113"/>
      <c r="CK8" s="113"/>
      <c r="CL8" s="113"/>
      <c r="CM8" s="113">
        <f t="shared" si="19"/>
        <v>0</v>
      </c>
      <c r="CN8" s="113" t="e">
        <f>R8*VLOOKUP(Q8,References!$A$86:$E$158,2,FALSE)+S8*VLOOKUP(Q8,References!$A$86:$E$158,2,FALSE)</f>
        <v>#N/A</v>
      </c>
      <c r="CO8" s="113" t="e">
        <f>((VLOOKUP(Q8,References!$A$86:$E$158,3,FALSE)-(CN8/C$7))/(VLOOKUP(Q8,References!$A$86:$E$158,3,FALSE)))</f>
        <v>#N/A</v>
      </c>
      <c r="CP8" s="101" t="e">
        <f t="shared" si="70"/>
        <v>#N/A</v>
      </c>
      <c r="CQ8" s="113">
        <f t="shared" si="71"/>
        <v>0</v>
      </c>
      <c r="CR8" s="113">
        <f t="shared" si="20"/>
        <v>0</v>
      </c>
      <c r="CS8" s="113">
        <f t="shared" si="20"/>
        <v>0</v>
      </c>
      <c r="CT8" s="113"/>
      <c r="CU8" s="10"/>
      <c r="CV8" s="10"/>
      <c r="CW8" s="7">
        <f>IF($D8="Land preparation",1,0)</f>
        <v>0</v>
      </c>
      <c r="CX8" s="7">
        <f t="shared" si="21"/>
        <v>0</v>
      </c>
      <c r="CY8" s="7">
        <f t="shared" si="22"/>
        <v>0</v>
      </c>
      <c r="CZ8" s="7">
        <f t="shared" si="23"/>
        <v>0</v>
      </c>
      <c r="DA8" s="7">
        <f t="shared" si="73"/>
        <v>0</v>
      </c>
      <c r="DB8" s="7">
        <f t="shared" si="24"/>
        <v>0</v>
      </c>
      <c r="DC8" s="7">
        <f t="shared" si="25"/>
        <v>0</v>
      </c>
      <c r="DD8" s="7">
        <f t="shared" si="26"/>
        <v>0</v>
      </c>
      <c r="DE8" s="7">
        <f t="shared" si="74"/>
        <v>1</v>
      </c>
      <c r="DF8" s="7">
        <f t="shared" si="27"/>
        <v>0</v>
      </c>
      <c r="DG8" s="7">
        <f t="shared" si="28"/>
        <v>80</v>
      </c>
      <c r="DH8" s="7">
        <f t="shared" si="29"/>
        <v>0</v>
      </c>
      <c r="DI8" s="7">
        <f t="shared" si="75"/>
        <v>0</v>
      </c>
      <c r="DJ8" s="7">
        <f t="shared" si="30"/>
        <v>0</v>
      </c>
      <c r="DK8" s="7">
        <f t="shared" si="31"/>
        <v>0</v>
      </c>
      <c r="DL8" s="7">
        <f t="shared" si="32"/>
        <v>0</v>
      </c>
      <c r="DM8" s="7">
        <f t="shared" si="76"/>
        <v>0</v>
      </c>
      <c r="DN8" s="7">
        <f t="shared" si="33"/>
        <v>0</v>
      </c>
      <c r="DO8" s="7">
        <f t="shared" si="34"/>
        <v>0</v>
      </c>
      <c r="DP8" s="7">
        <f t="shared" si="35"/>
        <v>0</v>
      </c>
      <c r="DQ8" s="7">
        <f t="shared" si="77"/>
        <v>0</v>
      </c>
      <c r="DR8" s="7">
        <f t="shared" si="36"/>
        <v>0</v>
      </c>
      <c r="DS8" s="7">
        <f t="shared" si="37"/>
        <v>0</v>
      </c>
      <c r="DT8" s="7">
        <f t="shared" si="38"/>
        <v>0</v>
      </c>
      <c r="DU8" s="7">
        <f t="shared" si="78"/>
        <v>0</v>
      </c>
      <c r="DV8" s="7">
        <f t="shared" si="39"/>
        <v>0</v>
      </c>
      <c r="DW8" s="7">
        <f t="shared" si="40"/>
        <v>0</v>
      </c>
      <c r="DX8" s="7">
        <f t="shared" si="41"/>
        <v>0</v>
      </c>
      <c r="DY8" s="7">
        <f t="shared" si="79"/>
        <v>0</v>
      </c>
      <c r="DZ8" s="7">
        <f t="shared" si="42"/>
        <v>0</v>
      </c>
      <c r="EA8" s="7">
        <f t="shared" si="43"/>
        <v>0</v>
      </c>
      <c r="EB8" s="7">
        <f t="shared" si="44"/>
        <v>0</v>
      </c>
      <c r="EC8" s="7">
        <f t="shared" si="80"/>
        <v>0</v>
      </c>
      <c r="ED8" s="7">
        <f t="shared" si="45"/>
        <v>0</v>
      </c>
      <c r="EE8" s="7">
        <f t="shared" si="46"/>
        <v>0</v>
      </c>
      <c r="EF8" s="7">
        <f t="shared" si="47"/>
        <v>0</v>
      </c>
      <c r="EG8" s="7">
        <f t="shared" si="81"/>
        <v>0</v>
      </c>
      <c r="EH8" s="7">
        <f t="shared" si="48"/>
        <v>0</v>
      </c>
      <c r="EI8" s="7">
        <f t="shared" si="49"/>
        <v>0</v>
      </c>
      <c r="EJ8" s="7">
        <f t="shared" si="50"/>
        <v>0</v>
      </c>
      <c r="EK8" s="7">
        <f t="shared" si="82"/>
        <v>0</v>
      </c>
      <c r="EL8" s="7">
        <f t="shared" si="51"/>
        <v>0</v>
      </c>
      <c r="EM8" s="7"/>
      <c r="EN8" s="63">
        <f t="shared" si="83"/>
        <v>0</v>
      </c>
      <c r="EO8" s="63">
        <f t="shared" si="84"/>
        <v>1</v>
      </c>
      <c r="EP8" s="63" t="str">
        <f t="shared" si="86"/>
        <v>0</v>
      </c>
      <c r="EQ8" s="63" t="str">
        <f t="shared" si="85"/>
        <v>0</v>
      </c>
    </row>
    <row r="9" spans="1:147" x14ac:dyDescent="0.25">
      <c r="C9" s="8"/>
      <c r="D9" s="84" t="s">
        <v>33</v>
      </c>
      <c r="E9" s="84" t="s">
        <v>13</v>
      </c>
      <c r="F9" s="84" t="s">
        <v>28</v>
      </c>
      <c r="G9" s="84" t="s">
        <v>162</v>
      </c>
      <c r="H9" s="16"/>
      <c r="I9" s="6"/>
      <c r="J9" s="6"/>
      <c r="K9" s="6"/>
      <c r="L9" s="6"/>
      <c r="M9" s="19">
        <f t="shared" si="52"/>
        <v>0</v>
      </c>
      <c r="N9" s="19">
        <f t="shared" si="0"/>
        <v>0</v>
      </c>
      <c r="O9" s="9" t="s">
        <v>162</v>
      </c>
      <c r="P9" s="9" t="s">
        <v>98</v>
      </c>
      <c r="Q9" s="9" t="s">
        <v>212</v>
      </c>
      <c r="R9" s="9">
        <v>6</v>
      </c>
      <c r="T9" s="1">
        <v>10</v>
      </c>
      <c r="U9" s="4">
        <f t="shared" si="53"/>
        <v>60</v>
      </c>
      <c r="X9" s="1">
        <v>300</v>
      </c>
      <c r="AA9" s="1">
        <v>150</v>
      </c>
      <c r="AB9" s="5">
        <f t="shared" si="54"/>
        <v>0</v>
      </c>
      <c r="AC9" s="5">
        <f t="shared" si="55"/>
        <v>0</v>
      </c>
      <c r="AD9" s="5">
        <f t="shared" si="1"/>
        <v>0</v>
      </c>
      <c r="AE9" s="43">
        <f t="shared" si="2"/>
        <v>60</v>
      </c>
      <c r="AF9" s="3">
        <f t="shared" si="56"/>
        <v>0</v>
      </c>
      <c r="AG9" s="3">
        <f t="shared" si="57"/>
        <v>0</v>
      </c>
      <c r="AH9" s="3">
        <f t="shared" si="58"/>
        <v>0</v>
      </c>
      <c r="AI9" s="3">
        <f t="shared" si="59"/>
        <v>0</v>
      </c>
      <c r="AJ9" s="3">
        <f t="shared" si="60"/>
        <v>0</v>
      </c>
      <c r="AK9" s="3">
        <f t="shared" si="61"/>
        <v>0</v>
      </c>
      <c r="AL9" s="3">
        <f t="shared" si="62"/>
        <v>60</v>
      </c>
      <c r="AM9" s="3">
        <f t="shared" si="63"/>
        <v>0</v>
      </c>
      <c r="AN9" s="3">
        <f t="shared" si="64"/>
        <v>0</v>
      </c>
      <c r="AO9" s="54">
        <f t="shared" si="65"/>
        <v>60</v>
      </c>
      <c r="AQ9" t="s">
        <v>234</v>
      </c>
      <c r="AU9" s="104">
        <f t="shared" si="66"/>
        <v>0</v>
      </c>
      <c r="AV9" s="104">
        <f t="shared" si="3"/>
        <v>0</v>
      </c>
      <c r="AW9" s="79"/>
      <c r="AY9" s="10">
        <f t="shared" si="4"/>
        <v>120</v>
      </c>
      <c r="AZ9" s="10">
        <f t="shared" si="5"/>
        <v>0</v>
      </c>
      <c r="BA9" s="10">
        <f t="shared" si="6"/>
        <v>0</v>
      </c>
      <c r="BB9" s="10">
        <f t="shared" si="7"/>
        <v>120</v>
      </c>
      <c r="BC9" s="10">
        <f t="shared" si="8"/>
        <v>0</v>
      </c>
      <c r="BD9" s="10">
        <f t="shared" si="8"/>
        <v>120</v>
      </c>
      <c r="BE9" s="10">
        <f t="shared" si="8"/>
        <v>0</v>
      </c>
      <c r="BF9" s="10">
        <f t="shared" si="9"/>
        <v>0</v>
      </c>
      <c r="BG9" s="10">
        <f t="shared" si="10"/>
        <v>0</v>
      </c>
      <c r="BH9" s="10">
        <f t="shared" si="67"/>
        <v>0</v>
      </c>
      <c r="BI9" s="10"/>
      <c r="BJ9" s="10"/>
      <c r="BK9" s="10"/>
      <c r="BL9" s="10"/>
      <c r="BM9" s="10"/>
      <c r="BN9" s="113" t="e">
        <f>AR9/VLOOKUP(AP9,References!$A$3:$C$53,2,FALSE)</f>
        <v>#N/A</v>
      </c>
      <c r="BO9" s="113">
        <f t="shared" si="68"/>
        <v>0</v>
      </c>
      <c r="BP9" s="113">
        <f t="shared" si="11"/>
        <v>0</v>
      </c>
      <c r="BQ9" s="113">
        <f>((R9*(VLOOKUP(Q9,References!$A$57:$D$110,2,FALSE))%)+(S9*(VLOOKUP(Q9,References!$A$57:$D$110,2,FALSE))%)*(CW9+DA9+DM9))</f>
        <v>0</v>
      </c>
      <c r="BR9" s="113">
        <f>((R9*(VLOOKUP(Q9,References!$A$57:$D$110,3,FALSE))%)+(S9*(VLOOKUP(Q9,References!$A$57:$D$110,3,FALSE))%)*(CW9+DA9+DM9))</f>
        <v>0</v>
      </c>
      <c r="BS9" s="113">
        <f>((R9*(VLOOKUP(Q9,References!$A$57:$D$110,4,FALSE))%)+(S9*(VLOOKUP(Q9,References!$A$57:$D$110,4,FALSE))%)*(CW9+DA9+DM9))</f>
        <v>0</v>
      </c>
      <c r="BT9" s="10">
        <f>((((R9+S9)/100)*VLOOKUP(Q9,References!$A$58:$M$110,13,FALSE))*(CW9+DA9+DM9))</f>
        <v>0</v>
      </c>
      <c r="BU9" s="10" t="e">
        <f>(AR9/1000)*VLOOKUP(AP9,References!$A$4:$P$54,11,FALSE)</f>
        <v>#N/A</v>
      </c>
      <c r="BV9" s="10" t="e">
        <f>(AR9/1000)*VLOOKUP(AP9,References!$A$4:$P$54,12,FALSE)</f>
        <v>#N/A</v>
      </c>
      <c r="BW9" s="10" t="e">
        <f>(AR9/1000)*VLOOKUP(AP9,References!$A$4:$P$54,13,FALSE)</f>
        <v>#N/A</v>
      </c>
      <c r="BX9" s="113">
        <f t="shared" si="69"/>
        <v>0</v>
      </c>
      <c r="BY9" s="113">
        <f t="shared" si="12"/>
        <v>0</v>
      </c>
      <c r="BZ9" s="113">
        <f t="shared" si="12"/>
        <v>0</v>
      </c>
      <c r="CA9" s="113">
        <f t="shared" si="13"/>
        <v>0</v>
      </c>
      <c r="CB9" s="113">
        <f t="shared" si="14"/>
        <v>0</v>
      </c>
      <c r="CC9" s="113">
        <f t="shared" si="15"/>
        <v>0</v>
      </c>
      <c r="CD9" s="113">
        <f t="shared" si="16"/>
        <v>0</v>
      </c>
      <c r="CE9" s="113">
        <f t="shared" si="17"/>
        <v>0</v>
      </c>
      <c r="CF9" s="113">
        <f t="shared" si="18"/>
        <v>0</v>
      </c>
      <c r="CG9" s="113"/>
      <c r="CH9" s="113"/>
      <c r="CI9" s="113"/>
      <c r="CJ9" s="113"/>
      <c r="CK9" s="113"/>
      <c r="CL9" s="113"/>
      <c r="CM9" s="113">
        <f t="shared" si="19"/>
        <v>0</v>
      </c>
      <c r="CN9" s="113" t="e">
        <f>R9*VLOOKUP(Q9,References!$A$86:$E$158,2,FALSE)+S9*VLOOKUP(Q9,References!$A$86:$E$158,2,FALSE)</f>
        <v>#N/A</v>
      </c>
      <c r="CO9" s="113" t="e">
        <f>((VLOOKUP(Q9,References!$A$86:$E$158,3,FALSE)-(CN9/C$7))/(VLOOKUP(Q9,References!$A$86:$E$158,3,FALSE)))</f>
        <v>#N/A</v>
      </c>
      <c r="CP9" s="101" t="e">
        <f t="shared" si="70"/>
        <v>#N/A</v>
      </c>
      <c r="CQ9" s="113">
        <f t="shared" si="71"/>
        <v>0</v>
      </c>
      <c r="CR9" s="113">
        <f t="shared" si="20"/>
        <v>0</v>
      </c>
      <c r="CS9" s="113">
        <f t="shared" si="20"/>
        <v>0</v>
      </c>
      <c r="CT9" s="113"/>
      <c r="CU9" s="10"/>
      <c r="CV9" s="10"/>
      <c r="CW9" s="7">
        <f t="shared" si="72"/>
        <v>0</v>
      </c>
      <c r="CX9" s="7">
        <f t="shared" si="21"/>
        <v>0</v>
      </c>
      <c r="CY9" s="7">
        <f t="shared" si="22"/>
        <v>0</v>
      </c>
      <c r="CZ9" s="7">
        <f t="shared" si="23"/>
        <v>0</v>
      </c>
      <c r="DA9" s="7">
        <f t="shared" si="73"/>
        <v>0</v>
      </c>
      <c r="DB9" s="7">
        <f t="shared" si="24"/>
        <v>0</v>
      </c>
      <c r="DC9" s="7">
        <f t="shared" si="25"/>
        <v>0</v>
      </c>
      <c r="DD9" s="7">
        <f t="shared" si="26"/>
        <v>0</v>
      </c>
      <c r="DE9" s="7">
        <f t="shared" si="74"/>
        <v>1</v>
      </c>
      <c r="DF9" s="7">
        <f t="shared" si="27"/>
        <v>0</v>
      </c>
      <c r="DG9" s="7">
        <f t="shared" si="28"/>
        <v>120</v>
      </c>
      <c r="DH9" s="7">
        <f t="shared" si="29"/>
        <v>0</v>
      </c>
      <c r="DI9" s="7">
        <f t="shared" si="75"/>
        <v>0</v>
      </c>
      <c r="DJ9" s="7">
        <f t="shared" si="30"/>
        <v>0</v>
      </c>
      <c r="DK9" s="7">
        <f t="shared" si="31"/>
        <v>0</v>
      </c>
      <c r="DL9" s="7">
        <f t="shared" si="32"/>
        <v>0</v>
      </c>
      <c r="DM9" s="7">
        <f t="shared" si="76"/>
        <v>0</v>
      </c>
      <c r="DN9" s="7">
        <f t="shared" si="33"/>
        <v>0</v>
      </c>
      <c r="DO9" s="7">
        <f t="shared" si="34"/>
        <v>0</v>
      </c>
      <c r="DP9" s="7">
        <f t="shared" si="35"/>
        <v>0</v>
      </c>
      <c r="DQ9" s="7">
        <f t="shared" si="77"/>
        <v>0</v>
      </c>
      <c r="DR9" s="7">
        <f t="shared" si="36"/>
        <v>0</v>
      </c>
      <c r="DS9" s="7">
        <f t="shared" si="37"/>
        <v>0</v>
      </c>
      <c r="DT9" s="7">
        <f t="shared" si="38"/>
        <v>0</v>
      </c>
      <c r="DU9" s="7">
        <f t="shared" si="78"/>
        <v>0</v>
      </c>
      <c r="DV9" s="7">
        <f t="shared" si="39"/>
        <v>0</v>
      </c>
      <c r="DW9" s="7">
        <f t="shared" si="40"/>
        <v>0</v>
      </c>
      <c r="DX9" s="7">
        <f t="shared" si="41"/>
        <v>0</v>
      </c>
      <c r="DY9" s="7">
        <f t="shared" si="79"/>
        <v>0</v>
      </c>
      <c r="DZ9" s="7">
        <f t="shared" si="42"/>
        <v>0</v>
      </c>
      <c r="EA9" s="7">
        <f t="shared" si="43"/>
        <v>0</v>
      </c>
      <c r="EB9" s="7">
        <f t="shared" si="44"/>
        <v>0</v>
      </c>
      <c r="EC9" s="7">
        <f t="shared" si="80"/>
        <v>0</v>
      </c>
      <c r="ED9" s="7">
        <f t="shared" si="45"/>
        <v>0</v>
      </c>
      <c r="EE9" s="7">
        <f t="shared" si="46"/>
        <v>0</v>
      </c>
      <c r="EF9" s="7">
        <f t="shared" si="47"/>
        <v>0</v>
      </c>
      <c r="EG9" s="7">
        <f t="shared" si="81"/>
        <v>0</v>
      </c>
      <c r="EH9" s="7">
        <f t="shared" si="48"/>
        <v>0</v>
      </c>
      <c r="EI9" s="7">
        <f t="shared" si="49"/>
        <v>0</v>
      </c>
      <c r="EJ9" s="7">
        <f t="shared" si="50"/>
        <v>0</v>
      </c>
      <c r="EK9" s="7">
        <f t="shared" si="82"/>
        <v>0</v>
      </c>
      <c r="EL9" s="7">
        <f t="shared" si="51"/>
        <v>0</v>
      </c>
      <c r="EM9" s="7"/>
      <c r="EN9" s="63">
        <f t="shared" si="83"/>
        <v>0</v>
      </c>
      <c r="EO9" s="63">
        <f t="shared" si="84"/>
        <v>1</v>
      </c>
      <c r="EP9" s="63" t="str">
        <f t="shared" si="86"/>
        <v>0</v>
      </c>
      <c r="EQ9" s="63" t="str">
        <f t="shared" si="85"/>
        <v>0</v>
      </c>
    </row>
    <row r="10" spans="1:147" x14ac:dyDescent="0.25">
      <c r="A10" s="13"/>
      <c r="B10" s="2"/>
      <c r="C10" s="9"/>
      <c r="D10" s="84" t="s">
        <v>6</v>
      </c>
      <c r="E10" s="84" t="s">
        <v>38</v>
      </c>
      <c r="F10" s="84" t="s">
        <v>26</v>
      </c>
      <c r="G10" s="84" t="s">
        <v>1</v>
      </c>
      <c r="H10" s="16"/>
      <c r="I10" s="6"/>
      <c r="J10" s="6"/>
      <c r="K10" s="6"/>
      <c r="L10" s="6"/>
      <c r="M10" s="19">
        <f t="shared" si="52"/>
        <v>0</v>
      </c>
      <c r="N10" s="19">
        <f t="shared" si="0"/>
        <v>0</v>
      </c>
      <c r="O10" s="9" t="s">
        <v>248</v>
      </c>
      <c r="P10" s="9" t="s">
        <v>98</v>
      </c>
      <c r="Q10" s="9" t="s">
        <v>215</v>
      </c>
      <c r="R10" s="9">
        <v>350</v>
      </c>
      <c r="T10" s="1">
        <v>1.33</v>
      </c>
      <c r="U10" s="4">
        <f t="shared" si="53"/>
        <v>465.5</v>
      </c>
      <c r="V10" s="1">
        <v>1</v>
      </c>
      <c r="X10" s="1">
        <v>300</v>
      </c>
      <c r="Y10" s="1">
        <v>1</v>
      </c>
      <c r="AA10" s="1">
        <v>150</v>
      </c>
      <c r="AB10" s="5">
        <f t="shared" si="54"/>
        <v>300</v>
      </c>
      <c r="AC10" s="5">
        <f t="shared" si="55"/>
        <v>150</v>
      </c>
      <c r="AD10" s="5">
        <f t="shared" si="1"/>
        <v>450</v>
      </c>
      <c r="AE10" s="43">
        <f t="shared" si="2"/>
        <v>915.5</v>
      </c>
      <c r="AF10" s="3">
        <f t="shared" si="56"/>
        <v>0</v>
      </c>
      <c r="AG10" s="3">
        <f t="shared" si="57"/>
        <v>0</v>
      </c>
      <c r="AH10" s="3">
        <f t="shared" si="58"/>
        <v>0</v>
      </c>
      <c r="AI10" s="3">
        <f t="shared" si="59"/>
        <v>0</v>
      </c>
      <c r="AJ10" s="3">
        <f t="shared" si="60"/>
        <v>0</v>
      </c>
      <c r="AK10" s="3">
        <f t="shared" si="61"/>
        <v>0</v>
      </c>
      <c r="AL10" s="3">
        <f t="shared" si="62"/>
        <v>465.5</v>
      </c>
      <c r="AM10" s="3">
        <f t="shared" si="63"/>
        <v>300</v>
      </c>
      <c r="AN10" s="3">
        <f t="shared" si="64"/>
        <v>150</v>
      </c>
      <c r="AO10" s="54">
        <f t="shared" si="65"/>
        <v>915.5</v>
      </c>
      <c r="AQ10" t="s">
        <v>42</v>
      </c>
      <c r="AU10" s="104">
        <f t="shared" si="66"/>
        <v>0</v>
      </c>
      <c r="AV10" s="104">
        <f t="shared" si="3"/>
        <v>0</v>
      </c>
      <c r="AW10" s="79"/>
      <c r="AY10" s="10">
        <f t="shared" si="4"/>
        <v>1831</v>
      </c>
      <c r="AZ10" s="10">
        <f t="shared" si="5"/>
        <v>0</v>
      </c>
      <c r="BA10" s="10">
        <f t="shared" si="6"/>
        <v>1831</v>
      </c>
      <c r="BB10" s="10">
        <f t="shared" si="7"/>
        <v>0</v>
      </c>
      <c r="BC10" s="10">
        <f t="shared" si="8"/>
        <v>0</v>
      </c>
      <c r="BD10" s="10">
        <f t="shared" si="8"/>
        <v>931</v>
      </c>
      <c r="BE10" s="10">
        <f t="shared" si="8"/>
        <v>900</v>
      </c>
      <c r="BF10" s="10">
        <f t="shared" si="9"/>
        <v>0</v>
      </c>
      <c r="BG10" s="10">
        <f t="shared" si="10"/>
        <v>0</v>
      </c>
      <c r="BH10" s="10">
        <f t="shared" si="67"/>
        <v>0</v>
      </c>
      <c r="BI10" s="10"/>
      <c r="BJ10" s="10"/>
      <c r="BK10" s="10"/>
      <c r="BL10" s="10"/>
      <c r="BM10" s="10"/>
      <c r="BN10" s="113" t="e">
        <f>AR10/VLOOKUP(AP10,References!$A$3:$C$53,2,FALSE)</f>
        <v>#N/A</v>
      </c>
      <c r="BO10" s="113">
        <f t="shared" si="68"/>
        <v>0</v>
      </c>
      <c r="BP10" s="113">
        <f t="shared" si="11"/>
        <v>0</v>
      </c>
      <c r="BQ10" s="113">
        <f>((R10*(VLOOKUP(Q10,References!$A$57:$D$110,2,FALSE))%)+(S10*(VLOOKUP(Q10,References!$A$57:$D$110,2,FALSE))%)*(CW10+DA10+DM10))</f>
        <v>1.8375000000000001</v>
      </c>
      <c r="BR10" s="113">
        <f>((R10*(VLOOKUP(Q10,References!$A$57:$D$110,3,FALSE))%)+(S10*(VLOOKUP(Q10,References!$A$57:$D$110,3,FALSE))%)*(CW10+DA10+DM10))</f>
        <v>1.4875</v>
      </c>
      <c r="BS10" s="113">
        <f>((R10*(VLOOKUP(Q10,References!$A$57:$D$110,4,FALSE))%)+(S10*(VLOOKUP(Q10,References!$A$57:$D$110,4,FALSE))%)*(CW10+DA10+DM10))</f>
        <v>0.96250000000000013</v>
      </c>
      <c r="BT10" s="10">
        <f>((((R10+S10)/100)*VLOOKUP(Q10,References!$A$58:$M$110,13,FALSE))*(CW10+DA10+DM10))</f>
        <v>0</v>
      </c>
      <c r="BU10" s="10" t="e">
        <f>(AR10/1000)*VLOOKUP(AP10,References!$A$4:$P$54,11,FALSE)</f>
        <v>#N/A</v>
      </c>
      <c r="BV10" s="10" t="e">
        <f>(AR10/1000)*VLOOKUP(AP10,References!$A$4:$P$54,12,FALSE)</f>
        <v>#N/A</v>
      </c>
      <c r="BW10" s="10" t="e">
        <f>(AR10/1000)*VLOOKUP(AP10,References!$A$4:$P$54,13,FALSE)</f>
        <v>#N/A</v>
      </c>
      <c r="BX10" s="113">
        <f t="shared" si="69"/>
        <v>0</v>
      </c>
      <c r="BY10" s="113">
        <f t="shared" si="12"/>
        <v>0</v>
      </c>
      <c r="BZ10" s="113">
        <f t="shared" si="12"/>
        <v>0</v>
      </c>
      <c r="CA10" s="113">
        <f t="shared" si="13"/>
        <v>3.6750000000000003</v>
      </c>
      <c r="CB10" s="113">
        <f t="shared" si="14"/>
        <v>2.9750000000000001</v>
      </c>
      <c r="CC10" s="113">
        <f t="shared" si="15"/>
        <v>1.9250000000000003</v>
      </c>
      <c r="CD10" s="113">
        <f t="shared" si="16"/>
        <v>0</v>
      </c>
      <c r="CE10" s="113">
        <f t="shared" si="17"/>
        <v>0</v>
      </c>
      <c r="CF10" s="113">
        <f t="shared" si="18"/>
        <v>0</v>
      </c>
      <c r="CG10" s="113"/>
      <c r="CH10" s="113"/>
      <c r="CI10" s="113"/>
      <c r="CJ10" s="113"/>
      <c r="CK10" s="113"/>
      <c r="CL10" s="113"/>
      <c r="CM10" s="113">
        <f t="shared" si="19"/>
        <v>0</v>
      </c>
      <c r="CN10" s="113" t="e">
        <f>R10*VLOOKUP(Q10,References!$A$86:$E$158,2,FALSE)+S10*VLOOKUP(Q10,References!$A$86:$E$158,2,FALSE)</f>
        <v>#N/A</v>
      </c>
      <c r="CO10" s="113" t="e">
        <f>((VLOOKUP(Q10,References!$A$86:$E$158,3,FALSE)-(CN10/C$7))/(VLOOKUP(Q10,References!$A$86:$E$158,3,FALSE)))</f>
        <v>#N/A</v>
      </c>
      <c r="CP10" s="101" t="e">
        <f t="shared" si="70"/>
        <v>#N/A</v>
      </c>
      <c r="CQ10" s="113">
        <f t="shared" si="71"/>
        <v>0</v>
      </c>
      <c r="CR10" s="113">
        <f t="shared" si="20"/>
        <v>0</v>
      </c>
      <c r="CS10" s="113">
        <f t="shared" si="20"/>
        <v>0</v>
      </c>
      <c r="CT10" s="113"/>
      <c r="CU10" s="10"/>
      <c r="CV10" s="10"/>
      <c r="CW10" s="7">
        <f t="shared" si="72"/>
        <v>0</v>
      </c>
      <c r="CX10" s="7">
        <f t="shared" si="21"/>
        <v>0</v>
      </c>
      <c r="CY10" s="7">
        <f t="shared" si="22"/>
        <v>0</v>
      </c>
      <c r="CZ10" s="7">
        <f t="shared" si="23"/>
        <v>0</v>
      </c>
      <c r="DA10" s="7">
        <f t="shared" si="73"/>
        <v>0</v>
      </c>
      <c r="DB10" s="7">
        <f t="shared" si="24"/>
        <v>0</v>
      </c>
      <c r="DC10" s="7">
        <f t="shared" si="25"/>
        <v>0</v>
      </c>
      <c r="DD10" s="7">
        <f t="shared" si="26"/>
        <v>0</v>
      </c>
      <c r="DE10" s="7">
        <f t="shared" si="74"/>
        <v>0</v>
      </c>
      <c r="DF10" s="7">
        <f t="shared" si="27"/>
        <v>0</v>
      </c>
      <c r="DG10" s="7">
        <f t="shared" si="28"/>
        <v>0</v>
      </c>
      <c r="DH10" s="7">
        <f t="shared" si="29"/>
        <v>0</v>
      </c>
      <c r="DI10" s="7">
        <f t="shared" si="75"/>
        <v>0</v>
      </c>
      <c r="DJ10" s="7">
        <f t="shared" si="30"/>
        <v>0</v>
      </c>
      <c r="DK10" s="7">
        <f t="shared" si="31"/>
        <v>0</v>
      </c>
      <c r="DL10" s="7">
        <f t="shared" si="32"/>
        <v>0</v>
      </c>
      <c r="DM10" s="7">
        <f t="shared" si="76"/>
        <v>1</v>
      </c>
      <c r="DN10" s="7">
        <f t="shared" si="33"/>
        <v>0</v>
      </c>
      <c r="DO10" s="7">
        <f t="shared" si="34"/>
        <v>931</v>
      </c>
      <c r="DP10" s="7">
        <f t="shared" si="35"/>
        <v>900</v>
      </c>
      <c r="DQ10" s="7">
        <f t="shared" si="77"/>
        <v>0</v>
      </c>
      <c r="DR10" s="7">
        <f t="shared" si="36"/>
        <v>0</v>
      </c>
      <c r="DS10" s="7">
        <f t="shared" si="37"/>
        <v>0</v>
      </c>
      <c r="DT10" s="7">
        <f t="shared" si="38"/>
        <v>0</v>
      </c>
      <c r="DU10" s="7">
        <f t="shared" si="78"/>
        <v>0</v>
      </c>
      <c r="DV10" s="7">
        <f t="shared" si="39"/>
        <v>0</v>
      </c>
      <c r="DW10" s="7">
        <f t="shared" si="40"/>
        <v>0</v>
      </c>
      <c r="DX10" s="7">
        <f t="shared" si="41"/>
        <v>0</v>
      </c>
      <c r="DY10" s="7">
        <f t="shared" si="79"/>
        <v>0</v>
      </c>
      <c r="DZ10" s="7">
        <f t="shared" si="42"/>
        <v>0</v>
      </c>
      <c r="EA10" s="7">
        <f t="shared" si="43"/>
        <v>0</v>
      </c>
      <c r="EB10" s="7">
        <f t="shared" si="44"/>
        <v>0</v>
      </c>
      <c r="EC10" s="7">
        <f t="shared" si="80"/>
        <v>0</v>
      </c>
      <c r="ED10" s="7">
        <f t="shared" si="45"/>
        <v>0</v>
      </c>
      <c r="EE10" s="7">
        <f t="shared" si="46"/>
        <v>0</v>
      </c>
      <c r="EF10" s="7">
        <f t="shared" si="47"/>
        <v>0</v>
      </c>
      <c r="EG10" s="7">
        <f t="shared" si="81"/>
        <v>0</v>
      </c>
      <c r="EH10" s="7">
        <f t="shared" si="48"/>
        <v>0</v>
      </c>
      <c r="EI10" s="7">
        <f t="shared" si="49"/>
        <v>0</v>
      </c>
      <c r="EJ10" s="7">
        <f t="shared" si="50"/>
        <v>0</v>
      </c>
      <c r="EK10" s="7">
        <f t="shared" si="82"/>
        <v>0</v>
      </c>
      <c r="EL10" s="7">
        <f t="shared" si="51"/>
        <v>0</v>
      </c>
      <c r="EM10" s="7"/>
      <c r="EN10" s="63">
        <f t="shared" si="83"/>
        <v>1</v>
      </c>
      <c r="EO10" s="63">
        <f t="shared" si="84"/>
        <v>0</v>
      </c>
      <c r="EP10" s="63" t="str">
        <f t="shared" si="86"/>
        <v>1</v>
      </c>
      <c r="EQ10" s="63" t="str">
        <f t="shared" si="85"/>
        <v>0</v>
      </c>
    </row>
    <row r="11" spans="1:147" x14ac:dyDescent="0.25">
      <c r="A11" s="13"/>
      <c r="B11" s="2"/>
      <c r="C11" s="9"/>
      <c r="D11" s="84" t="s">
        <v>23</v>
      </c>
      <c r="E11" s="84" t="s">
        <v>38</v>
      </c>
      <c r="F11" s="84" t="s">
        <v>29</v>
      </c>
      <c r="G11" s="84" t="s">
        <v>1</v>
      </c>
      <c r="H11" s="16"/>
      <c r="I11" s="6"/>
      <c r="J11" s="6"/>
      <c r="K11" s="6"/>
      <c r="L11" s="6"/>
      <c r="M11" s="19">
        <f t="shared" si="52"/>
        <v>0</v>
      </c>
      <c r="N11" s="19">
        <f t="shared" si="0"/>
        <v>0</v>
      </c>
      <c r="O11" s="9"/>
      <c r="P11" s="9" t="s">
        <v>120</v>
      </c>
      <c r="Q11" s="9" t="s">
        <v>228</v>
      </c>
      <c r="R11" s="9"/>
      <c r="U11" s="4">
        <f t="shared" si="53"/>
        <v>0</v>
      </c>
      <c r="V11" s="1">
        <v>2</v>
      </c>
      <c r="X11" s="1">
        <v>300</v>
      </c>
      <c r="Z11" s="1">
        <v>4</v>
      </c>
      <c r="AA11" s="1">
        <v>150</v>
      </c>
      <c r="AB11" s="5">
        <f t="shared" si="54"/>
        <v>600</v>
      </c>
      <c r="AC11" s="5">
        <f t="shared" si="55"/>
        <v>600</v>
      </c>
      <c r="AD11" s="5">
        <f t="shared" si="1"/>
        <v>1200</v>
      </c>
      <c r="AE11" s="43">
        <f t="shared" si="2"/>
        <v>1200</v>
      </c>
      <c r="AF11" s="3">
        <f t="shared" si="56"/>
        <v>0</v>
      </c>
      <c r="AG11" s="3">
        <f t="shared" si="57"/>
        <v>0</v>
      </c>
      <c r="AH11" s="3">
        <f t="shared" si="58"/>
        <v>0</v>
      </c>
      <c r="AI11" s="3">
        <f t="shared" si="59"/>
        <v>600</v>
      </c>
      <c r="AJ11" s="3">
        <f t="shared" si="60"/>
        <v>600</v>
      </c>
      <c r="AK11" s="3">
        <f t="shared" si="61"/>
        <v>0</v>
      </c>
      <c r="AL11" s="3">
        <f t="shared" si="62"/>
        <v>0</v>
      </c>
      <c r="AM11" s="3">
        <f t="shared" si="63"/>
        <v>600</v>
      </c>
      <c r="AN11" s="3">
        <f t="shared" si="64"/>
        <v>0</v>
      </c>
      <c r="AO11" s="54">
        <f t="shared" si="65"/>
        <v>600</v>
      </c>
      <c r="AQ11" t="s">
        <v>42</v>
      </c>
      <c r="AU11" s="104">
        <f t="shared" si="66"/>
        <v>0</v>
      </c>
      <c r="AV11" s="104">
        <f t="shared" si="3"/>
        <v>0</v>
      </c>
      <c r="AW11" s="79"/>
      <c r="AY11" s="10">
        <f t="shared" si="4"/>
        <v>2400</v>
      </c>
      <c r="AZ11" s="10">
        <f t="shared" si="5"/>
        <v>1200</v>
      </c>
      <c r="BA11" s="10">
        <f t="shared" si="6"/>
        <v>2400</v>
      </c>
      <c r="BB11" s="10">
        <f t="shared" si="7"/>
        <v>0</v>
      </c>
      <c r="BC11" s="10">
        <f t="shared" si="8"/>
        <v>0</v>
      </c>
      <c r="BD11" s="10">
        <f t="shared" si="8"/>
        <v>0</v>
      </c>
      <c r="BE11" s="10">
        <f t="shared" si="8"/>
        <v>2400</v>
      </c>
      <c r="BF11" s="10">
        <f t="shared" si="9"/>
        <v>0</v>
      </c>
      <c r="BG11" s="10">
        <f t="shared" si="10"/>
        <v>0</v>
      </c>
      <c r="BH11" s="10">
        <f t="shared" si="67"/>
        <v>0</v>
      </c>
      <c r="BI11" s="10"/>
      <c r="BJ11" s="10"/>
      <c r="BK11" s="10"/>
      <c r="BL11" s="10"/>
      <c r="BM11" s="10"/>
      <c r="BN11" s="113" t="e">
        <f>AR11/VLOOKUP(AP11,References!$A$3:$C$53,2,FALSE)</f>
        <v>#N/A</v>
      </c>
      <c r="BO11" s="113">
        <f t="shared" si="68"/>
        <v>0</v>
      </c>
      <c r="BP11" s="113">
        <f t="shared" si="11"/>
        <v>0</v>
      </c>
      <c r="BQ11" s="113">
        <f>((R11*(VLOOKUP(Q11,References!$A$57:$D$110,2,FALSE))%)+(S11*(VLOOKUP(Q11,References!$A$57:$D$110,2,FALSE))%)*(CW11+DA11+DM11))</f>
        <v>0</v>
      </c>
      <c r="BR11" s="113">
        <f>((R11*(VLOOKUP(Q11,References!$A$57:$D$110,3,FALSE))%)+(S11*(VLOOKUP(Q11,References!$A$57:$D$110,3,FALSE))%)*(CW11+DA11+DM11))</f>
        <v>0</v>
      </c>
      <c r="BS11" s="113">
        <f>((R11*(VLOOKUP(Q11,References!$A$57:$D$110,4,FALSE))%)+(S11*(VLOOKUP(Q11,References!$A$57:$D$110,4,FALSE))%)*(CW11+DA11+DM11))</f>
        <v>0</v>
      </c>
      <c r="BT11" s="10">
        <f>((((R11+S11)/100)*VLOOKUP(Q11,References!$A$58:$M$110,13,FALSE))*(CW11+DA11+DM11))</f>
        <v>0</v>
      </c>
      <c r="BU11" s="10" t="e">
        <f>(AR11/1000)*VLOOKUP(AP11,References!$A$4:$P$54,11,FALSE)</f>
        <v>#N/A</v>
      </c>
      <c r="BV11" s="10" t="e">
        <f>(AR11/1000)*VLOOKUP(AP11,References!$A$4:$P$54,12,FALSE)</f>
        <v>#N/A</v>
      </c>
      <c r="BW11" s="10" t="e">
        <f>(AR11/1000)*VLOOKUP(AP11,References!$A$4:$P$54,13,FALSE)</f>
        <v>#N/A</v>
      </c>
      <c r="BX11" s="113">
        <f t="shared" si="69"/>
        <v>0</v>
      </c>
      <c r="BY11" s="113">
        <f t="shared" si="12"/>
        <v>0</v>
      </c>
      <c r="BZ11" s="113">
        <f t="shared" si="12"/>
        <v>0</v>
      </c>
      <c r="CA11" s="113">
        <f t="shared" si="13"/>
        <v>0</v>
      </c>
      <c r="CB11" s="113">
        <f t="shared" si="14"/>
        <v>0</v>
      </c>
      <c r="CC11" s="113">
        <f t="shared" si="15"/>
        <v>0</v>
      </c>
      <c r="CD11" s="113">
        <f t="shared" si="16"/>
        <v>0</v>
      </c>
      <c r="CE11" s="113">
        <f t="shared" si="17"/>
        <v>0</v>
      </c>
      <c r="CF11" s="113">
        <f t="shared" si="18"/>
        <v>0</v>
      </c>
      <c r="CG11" s="113"/>
      <c r="CH11" s="113"/>
      <c r="CI11" s="113"/>
      <c r="CJ11" s="113"/>
      <c r="CK11" s="113"/>
      <c r="CL11" s="113"/>
      <c r="CM11" s="113">
        <f t="shared" si="19"/>
        <v>0</v>
      </c>
      <c r="CN11" s="113" t="e">
        <f>R11*VLOOKUP(Q11,References!$A$86:$E$158,2,FALSE)+S11*VLOOKUP(Q11,References!$A$86:$E$158,2,FALSE)</f>
        <v>#N/A</v>
      </c>
      <c r="CO11" s="113" t="e">
        <f>((VLOOKUP(Q11,References!$A$86:$E$158,3,FALSE)-(CN11/C$7))/(VLOOKUP(Q11,References!$A$86:$E$158,3,FALSE)))</f>
        <v>#N/A</v>
      </c>
      <c r="CP11" s="101" t="e">
        <f t="shared" si="70"/>
        <v>#N/A</v>
      </c>
      <c r="CQ11" s="113">
        <f t="shared" si="71"/>
        <v>0</v>
      </c>
      <c r="CR11" s="113">
        <f t="shared" si="20"/>
        <v>0</v>
      </c>
      <c r="CS11" s="113">
        <f t="shared" si="20"/>
        <v>0</v>
      </c>
      <c r="CT11" s="113"/>
      <c r="CU11" s="10"/>
      <c r="CV11" s="10"/>
      <c r="CW11" s="7">
        <f t="shared" si="72"/>
        <v>0</v>
      </c>
      <c r="CX11" s="7">
        <f t="shared" si="21"/>
        <v>0</v>
      </c>
      <c r="CY11" s="7">
        <f t="shared" si="22"/>
        <v>0</v>
      </c>
      <c r="CZ11" s="7">
        <f t="shared" si="23"/>
        <v>0</v>
      </c>
      <c r="DA11" s="7">
        <f t="shared" si="73"/>
        <v>0</v>
      </c>
      <c r="DB11" s="7">
        <f t="shared" si="24"/>
        <v>0</v>
      </c>
      <c r="DC11" s="7">
        <f t="shared" si="25"/>
        <v>0</v>
      </c>
      <c r="DD11" s="7">
        <f t="shared" si="26"/>
        <v>0</v>
      </c>
      <c r="DE11" s="7">
        <f t="shared" si="74"/>
        <v>0</v>
      </c>
      <c r="DF11" s="7">
        <f t="shared" si="27"/>
        <v>0</v>
      </c>
      <c r="DG11" s="7">
        <f t="shared" si="28"/>
        <v>0</v>
      </c>
      <c r="DH11" s="7">
        <f t="shared" si="29"/>
        <v>0</v>
      </c>
      <c r="DI11" s="7">
        <f t="shared" si="75"/>
        <v>0</v>
      </c>
      <c r="DJ11" s="7">
        <f t="shared" si="30"/>
        <v>0</v>
      </c>
      <c r="DK11" s="7">
        <f t="shared" si="31"/>
        <v>0</v>
      </c>
      <c r="DL11" s="7">
        <f t="shared" si="32"/>
        <v>0</v>
      </c>
      <c r="DM11" s="7">
        <f t="shared" si="76"/>
        <v>0</v>
      </c>
      <c r="DN11" s="7">
        <f t="shared" si="33"/>
        <v>0</v>
      </c>
      <c r="DO11" s="7">
        <f t="shared" si="34"/>
        <v>0</v>
      </c>
      <c r="DP11" s="7">
        <f t="shared" si="35"/>
        <v>0</v>
      </c>
      <c r="DQ11" s="7">
        <f t="shared" si="77"/>
        <v>1</v>
      </c>
      <c r="DR11" s="7">
        <f t="shared" si="36"/>
        <v>0</v>
      </c>
      <c r="DS11" s="7">
        <f t="shared" si="37"/>
        <v>0</v>
      </c>
      <c r="DT11" s="7">
        <f t="shared" si="38"/>
        <v>2400</v>
      </c>
      <c r="DU11" s="7">
        <f t="shared" si="78"/>
        <v>0</v>
      </c>
      <c r="DV11" s="7">
        <f t="shared" si="39"/>
        <v>0</v>
      </c>
      <c r="DW11" s="7">
        <f t="shared" si="40"/>
        <v>0</v>
      </c>
      <c r="DX11" s="7">
        <f t="shared" si="41"/>
        <v>0</v>
      </c>
      <c r="DY11" s="7">
        <f t="shared" si="79"/>
        <v>0</v>
      </c>
      <c r="DZ11" s="7">
        <f t="shared" si="42"/>
        <v>0</v>
      </c>
      <c r="EA11" s="7">
        <f t="shared" si="43"/>
        <v>0</v>
      </c>
      <c r="EB11" s="7">
        <f t="shared" si="44"/>
        <v>0</v>
      </c>
      <c r="EC11" s="7">
        <f t="shared" si="80"/>
        <v>0</v>
      </c>
      <c r="ED11" s="7">
        <f t="shared" si="45"/>
        <v>0</v>
      </c>
      <c r="EE11" s="7">
        <f t="shared" si="46"/>
        <v>0</v>
      </c>
      <c r="EF11" s="7">
        <f t="shared" si="47"/>
        <v>0</v>
      </c>
      <c r="EG11" s="7">
        <f t="shared" si="81"/>
        <v>0</v>
      </c>
      <c r="EH11" s="7">
        <f t="shared" si="48"/>
        <v>0</v>
      </c>
      <c r="EI11" s="7">
        <f t="shared" si="49"/>
        <v>0</v>
      </c>
      <c r="EJ11" s="7">
        <f t="shared" si="50"/>
        <v>0</v>
      </c>
      <c r="EK11" s="7">
        <f t="shared" si="82"/>
        <v>1</v>
      </c>
      <c r="EL11" s="7">
        <f t="shared" si="51"/>
        <v>0</v>
      </c>
      <c r="EM11" s="7"/>
      <c r="EN11" s="63">
        <f t="shared" si="83"/>
        <v>1</v>
      </c>
      <c r="EO11" s="63">
        <f t="shared" si="84"/>
        <v>0</v>
      </c>
      <c r="EP11" s="63" t="str">
        <f t="shared" si="86"/>
        <v>1</v>
      </c>
      <c r="EQ11" s="63" t="str">
        <f t="shared" si="85"/>
        <v>0</v>
      </c>
    </row>
    <row r="12" spans="1:147" x14ac:dyDescent="0.25">
      <c r="A12" s="13"/>
      <c r="B12" s="2"/>
      <c r="C12" s="9"/>
      <c r="D12" s="84" t="s">
        <v>23</v>
      </c>
      <c r="E12" s="84" t="s">
        <v>38</v>
      </c>
      <c r="F12" s="84" t="s">
        <v>29</v>
      </c>
      <c r="G12" s="84" t="s">
        <v>1</v>
      </c>
      <c r="H12" s="16"/>
      <c r="I12" s="6"/>
      <c r="J12" s="6"/>
      <c r="K12" s="6"/>
      <c r="L12" s="6"/>
      <c r="M12" s="19">
        <f t="shared" si="52"/>
        <v>0</v>
      </c>
      <c r="N12" s="19">
        <f t="shared" si="0"/>
        <v>0</v>
      </c>
      <c r="O12" s="9"/>
      <c r="P12" s="9" t="s">
        <v>120</v>
      </c>
      <c r="Q12" s="9" t="s">
        <v>170</v>
      </c>
      <c r="R12" s="9"/>
      <c r="U12" s="4">
        <f t="shared" si="53"/>
        <v>0</v>
      </c>
      <c r="V12" s="1">
        <v>2</v>
      </c>
      <c r="X12" s="1">
        <v>300</v>
      </c>
      <c r="Z12" s="1">
        <v>4</v>
      </c>
      <c r="AA12" s="1">
        <v>150</v>
      </c>
      <c r="AB12" s="5">
        <f t="shared" si="54"/>
        <v>600</v>
      </c>
      <c r="AC12" s="5">
        <f t="shared" si="55"/>
        <v>600</v>
      </c>
      <c r="AD12" s="5">
        <f t="shared" si="1"/>
        <v>1200</v>
      </c>
      <c r="AE12" s="43">
        <f t="shared" si="2"/>
        <v>1200</v>
      </c>
      <c r="AF12" s="3">
        <f t="shared" si="56"/>
        <v>0</v>
      </c>
      <c r="AG12" s="3">
        <f t="shared" si="57"/>
        <v>0</v>
      </c>
      <c r="AH12" s="3">
        <f t="shared" si="58"/>
        <v>0</v>
      </c>
      <c r="AI12" s="3">
        <f t="shared" si="59"/>
        <v>600</v>
      </c>
      <c r="AJ12" s="3">
        <f t="shared" si="60"/>
        <v>600</v>
      </c>
      <c r="AK12" s="3">
        <f t="shared" si="61"/>
        <v>0</v>
      </c>
      <c r="AL12" s="3">
        <f t="shared" si="62"/>
        <v>0</v>
      </c>
      <c r="AM12" s="3">
        <f t="shared" si="63"/>
        <v>600</v>
      </c>
      <c r="AN12" s="3">
        <f t="shared" si="64"/>
        <v>0</v>
      </c>
      <c r="AO12" s="54">
        <f t="shared" si="65"/>
        <v>600</v>
      </c>
      <c r="AQ12" t="s">
        <v>42</v>
      </c>
      <c r="AU12" s="104">
        <f t="shared" si="66"/>
        <v>0</v>
      </c>
      <c r="AV12" s="104">
        <f t="shared" si="3"/>
        <v>0</v>
      </c>
      <c r="AW12" s="79"/>
      <c r="AY12" s="10">
        <f t="shared" si="4"/>
        <v>2400</v>
      </c>
      <c r="AZ12" s="10">
        <f t="shared" si="5"/>
        <v>1200</v>
      </c>
      <c r="BA12" s="10">
        <f t="shared" si="6"/>
        <v>2400</v>
      </c>
      <c r="BB12" s="10">
        <f t="shared" si="7"/>
        <v>0</v>
      </c>
      <c r="BC12" s="10">
        <f t="shared" si="8"/>
        <v>0</v>
      </c>
      <c r="BD12" s="10">
        <f t="shared" si="8"/>
        <v>0</v>
      </c>
      <c r="BE12" s="10">
        <f t="shared" si="8"/>
        <v>2400</v>
      </c>
      <c r="BF12" s="10">
        <f t="shared" si="9"/>
        <v>0</v>
      </c>
      <c r="BG12" s="10">
        <f t="shared" si="10"/>
        <v>0</v>
      </c>
      <c r="BH12" s="10">
        <f t="shared" si="67"/>
        <v>0</v>
      </c>
      <c r="BI12" s="10"/>
      <c r="BJ12" s="10"/>
      <c r="BK12" s="10"/>
      <c r="BL12" s="10"/>
      <c r="BM12" s="10"/>
      <c r="BN12" s="113" t="e">
        <f>AR12/VLOOKUP(AP12,References!$A$3:$C$53,2,FALSE)</f>
        <v>#N/A</v>
      </c>
      <c r="BO12" s="113">
        <f t="shared" si="68"/>
        <v>0</v>
      </c>
      <c r="BP12" s="113">
        <f t="shared" si="11"/>
        <v>0</v>
      </c>
      <c r="BQ12" s="113">
        <f>((R12*(VLOOKUP(Q12,References!$A$57:$D$110,2,FALSE))%)+(S12*(VLOOKUP(Q12,References!$A$57:$D$110,2,FALSE))%)*(CW12+DA12+DM12))</f>
        <v>0</v>
      </c>
      <c r="BR12" s="113">
        <f>((R12*(VLOOKUP(Q12,References!$A$57:$D$110,3,FALSE))%)+(S12*(VLOOKUP(Q12,References!$A$57:$D$110,3,FALSE))%)*(CW12+DA12+DM12))</f>
        <v>0</v>
      </c>
      <c r="BS12" s="113">
        <f>((R12*(VLOOKUP(Q12,References!$A$57:$D$110,4,FALSE))%)+(S12*(VLOOKUP(Q12,References!$A$57:$D$110,4,FALSE))%)*(CW12+DA12+DM12))</f>
        <v>0</v>
      </c>
      <c r="BT12" s="10">
        <f>((((R12+S12)/100)*VLOOKUP(Q12,References!$A$58:$M$110,13,FALSE))*(CW12+DA12+DM12))</f>
        <v>0</v>
      </c>
      <c r="BU12" s="10" t="e">
        <f>(AR12/1000)*VLOOKUP(AP12,References!$A$4:$P$54,11,FALSE)</f>
        <v>#N/A</v>
      </c>
      <c r="BV12" s="10" t="e">
        <f>(AR12/1000)*VLOOKUP(AP12,References!$A$4:$P$54,12,FALSE)</f>
        <v>#N/A</v>
      </c>
      <c r="BW12" s="10" t="e">
        <f>(AR12/1000)*VLOOKUP(AP12,References!$A$4:$P$54,13,FALSE)</f>
        <v>#N/A</v>
      </c>
      <c r="BX12" s="113">
        <f t="shared" si="69"/>
        <v>0</v>
      </c>
      <c r="BY12" s="113">
        <f t="shared" si="12"/>
        <v>0</v>
      </c>
      <c r="BZ12" s="113">
        <f t="shared" si="12"/>
        <v>0</v>
      </c>
      <c r="CA12" s="113">
        <f t="shared" si="13"/>
        <v>0</v>
      </c>
      <c r="CB12" s="113">
        <f t="shared" si="14"/>
        <v>0</v>
      </c>
      <c r="CC12" s="113">
        <f t="shared" si="15"/>
        <v>0</v>
      </c>
      <c r="CD12" s="113">
        <f t="shared" si="16"/>
        <v>0</v>
      </c>
      <c r="CE12" s="113">
        <f t="shared" si="17"/>
        <v>0</v>
      </c>
      <c r="CF12" s="113">
        <f t="shared" si="18"/>
        <v>0</v>
      </c>
      <c r="CG12" s="113"/>
      <c r="CH12" s="113"/>
      <c r="CI12" s="113"/>
      <c r="CJ12" s="113"/>
      <c r="CK12" s="113"/>
      <c r="CL12" s="113"/>
      <c r="CM12" s="113">
        <f t="shared" si="19"/>
        <v>0</v>
      </c>
      <c r="CN12" s="113" t="e">
        <f>R12*VLOOKUP(Q12,References!$A$86:$E$158,2,FALSE)+S12*VLOOKUP(Q12,References!$A$86:$E$158,2,FALSE)</f>
        <v>#N/A</v>
      </c>
      <c r="CO12" s="113" t="e">
        <f>((VLOOKUP(Q12,References!$A$86:$E$158,3,FALSE)-(CN12/C$7))/(VLOOKUP(Q12,References!$A$86:$E$158,3,FALSE)))</f>
        <v>#N/A</v>
      </c>
      <c r="CP12" s="101" t="e">
        <f t="shared" si="70"/>
        <v>#N/A</v>
      </c>
      <c r="CQ12" s="113">
        <f t="shared" si="71"/>
        <v>0</v>
      </c>
      <c r="CR12" s="113">
        <f t="shared" si="20"/>
        <v>0</v>
      </c>
      <c r="CS12" s="113">
        <f t="shared" si="20"/>
        <v>0</v>
      </c>
      <c r="CT12" s="113"/>
      <c r="CU12" s="10"/>
      <c r="CV12" s="10"/>
      <c r="CW12" s="7">
        <f t="shared" si="72"/>
        <v>0</v>
      </c>
      <c r="CX12" s="7">
        <f t="shared" si="21"/>
        <v>0</v>
      </c>
      <c r="CY12" s="7">
        <f t="shared" si="22"/>
        <v>0</v>
      </c>
      <c r="CZ12" s="7">
        <f t="shared" si="23"/>
        <v>0</v>
      </c>
      <c r="DA12" s="7">
        <f t="shared" si="73"/>
        <v>0</v>
      </c>
      <c r="DB12" s="7">
        <f t="shared" si="24"/>
        <v>0</v>
      </c>
      <c r="DC12" s="7">
        <f t="shared" si="25"/>
        <v>0</v>
      </c>
      <c r="DD12" s="7">
        <f t="shared" si="26"/>
        <v>0</v>
      </c>
      <c r="DE12" s="7">
        <f t="shared" si="74"/>
        <v>0</v>
      </c>
      <c r="DF12" s="7">
        <f t="shared" si="27"/>
        <v>0</v>
      </c>
      <c r="DG12" s="7">
        <f t="shared" si="28"/>
        <v>0</v>
      </c>
      <c r="DH12" s="7">
        <f t="shared" si="29"/>
        <v>0</v>
      </c>
      <c r="DI12" s="7">
        <f t="shared" si="75"/>
        <v>0</v>
      </c>
      <c r="DJ12" s="7">
        <f t="shared" si="30"/>
        <v>0</v>
      </c>
      <c r="DK12" s="7">
        <f t="shared" si="31"/>
        <v>0</v>
      </c>
      <c r="DL12" s="7">
        <f t="shared" si="32"/>
        <v>0</v>
      </c>
      <c r="DM12" s="7">
        <f t="shared" si="76"/>
        <v>0</v>
      </c>
      <c r="DN12" s="7">
        <f t="shared" si="33"/>
        <v>0</v>
      </c>
      <c r="DO12" s="7">
        <f t="shared" si="34"/>
        <v>0</v>
      </c>
      <c r="DP12" s="7">
        <f t="shared" si="35"/>
        <v>0</v>
      </c>
      <c r="DQ12" s="7">
        <f t="shared" si="77"/>
        <v>1</v>
      </c>
      <c r="DR12" s="7">
        <f t="shared" si="36"/>
        <v>0</v>
      </c>
      <c r="DS12" s="7">
        <f t="shared" si="37"/>
        <v>0</v>
      </c>
      <c r="DT12" s="7">
        <f t="shared" si="38"/>
        <v>2400</v>
      </c>
      <c r="DU12" s="7">
        <f t="shared" si="78"/>
        <v>0</v>
      </c>
      <c r="DV12" s="7">
        <f t="shared" si="39"/>
        <v>0</v>
      </c>
      <c r="DW12" s="7">
        <f t="shared" si="40"/>
        <v>0</v>
      </c>
      <c r="DX12" s="7">
        <f t="shared" si="41"/>
        <v>0</v>
      </c>
      <c r="DY12" s="7">
        <f t="shared" si="79"/>
        <v>0</v>
      </c>
      <c r="DZ12" s="7">
        <f t="shared" si="42"/>
        <v>0</v>
      </c>
      <c r="EA12" s="7">
        <f t="shared" si="43"/>
        <v>0</v>
      </c>
      <c r="EB12" s="7">
        <f t="shared" si="44"/>
        <v>0</v>
      </c>
      <c r="EC12" s="7">
        <f t="shared" si="80"/>
        <v>0</v>
      </c>
      <c r="ED12" s="7">
        <f t="shared" si="45"/>
        <v>0</v>
      </c>
      <c r="EE12" s="7">
        <f t="shared" si="46"/>
        <v>0</v>
      </c>
      <c r="EF12" s="7">
        <f t="shared" si="47"/>
        <v>0</v>
      </c>
      <c r="EG12" s="7">
        <f t="shared" si="81"/>
        <v>0</v>
      </c>
      <c r="EH12" s="7">
        <f t="shared" si="48"/>
        <v>0</v>
      </c>
      <c r="EI12" s="7">
        <f t="shared" si="49"/>
        <v>0</v>
      </c>
      <c r="EJ12" s="7">
        <f t="shared" si="50"/>
        <v>0</v>
      </c>
      <c r="EK12" s="7">
        <f t="shared" si="82"/>
        <v>1</v>
      </c>
      <c r="EL12" s="7">
        <f t="shared" si="51"/>
        <v>0</v>
      </c>
      <c r="EM12" s="7"/>
      <c r="EN12" s="63">
        <f t="shared" si="83"/>
        <v>1</v>
      </c>
      <c r="EO12" s="63">
        <f t="shared" si="84"/>
        <v>0</v>
      </c>
      <c r="EP12" s="63" t="str">
        <f t="shared" si="86"/>
        <v>1</v>
      </c>
      <c r="EQ12" s="63" t="str">
        <f t="shared" si="85"/>
        <v>0</v>
      </c>
    </row>
    <row r="13" spans="1:147" x14ac:dyDescent="0.25">
      <c r="A13" s="13"/>
      <c r="B13" s="2"/>
      <c r="C13" s="9"/>
      <c r="D13" s="84" t="s">
        <v>7</v>
      </c>
      <c r="E13" s="84" t="s">
        <v>38</v>
      </c>
      <c r="F13" s="84" t="s">
        <v>62</v>
      </c>
      <c r="G13" s="84" t="s">
        <v>1</v>
      </c>
      <c r="H13" s="16"/>
      <c r="I13" s="6"/>
      <c r="J13" s="6"/>
      <c r="K13" s="6"/>
      <c r="L13" s="6"/>
      <c r="M13" s="19">
        <f t="shared" si="52"/>
        <v>0</v>
      </c>
      <c r="N13" s="19">
        <f t="shared" si="0"/>
        <v>0</v>
      </c>
      <c r="O13" s="9" t="s">
        <v>249</v>
      </c>
      <c r="P13" s="9" t="s">
        <v>120</v>
      </c>
      <c r="Q13" s="9" t="s">
        <v>239</v>
      </c>
      <c r="R13" s="9">
        <v>3</v>
      </c>
      <c r="T13" s="1">
        <v>30</v>
      </c>
      <c r="U13" s="4">
        <f t="shared" si="53"/>
        <v>90</v>
      </c>
      <c r="V13" s="1">
        <v>1</v>
      </c>
      <c r="X13" s="1">
        <v>300</v>
      </c>
      <c r="AA13" s="1">
        <v>150</v>
      </c>
      <c r="AB13" s="5">
        <f t="shared" si="54"/>
        <v>300</v>
      </c>
      <c r="AC13" s="5">
        <f t="shared" si="55"/>
        <v>0</v>
      </c>
      <c r="AD13" s="5">
        <f t="shared" si="1"/>
        <v>300</v>
      </c>
      <c r="AE13" s="43">
        <f t="shared" si="2"/>
        <v>390</v>
      </c>
      <c r="AF13" s="3">
        <f t="shared" si="56"/>
        <v>0</v>
      </c>
      <c r="AG13" s="3">
        <f t="shared" si="57"/>
        <v>0</v>
      </c>
      <c r="AH13" s="3">
        <f t="shared" si="58"/>
        <v>0</v>
      </c>
      <c r="AI13" s="3">
        <f t="shared" si="59"/>
        <v>0</v>
      </c>
      <c r="AJ13" s="3">
        <f t="shared" si="60"/>
        <v>0</v>
      </c>
      <c r="AK13" s="3">
        <f t="shared" si="61"/>
        <v>0</v>
      </c>
      <c r="AL13" s="3">
        <f t="shared" si="62"/>
        <v>90</v>
      </c>
      <c r="AM13" s="3">
        <f t="shared" si="63"/>
        <v>300</v>
      </c>
      <c r="AN13" s="3">
        <f t="shared" si="64"/>
        <v>0</v>
      </c>
      <c r="AO13" s="54">
        <f t="shared" si="65"/>
        <v>390</v>
      </c>
      <c r="AQ13" t="s">
        <v>42</v>
      </c>
      <c r="AU13" s="104">
        <f t="shared" si="66"/>
        <v>0</v>
      </c>
      <c r="AV13" s="104">
        <f t="shared" si="3"/>
        <v>0</v>
      </c>
      <c r="AW13" s="79"/>
      <c r="AY13" s="10">
        <f t="shared" si="4"/>
        <v>780</v>
      </c>
      <c r="AZ13" s="10">
        <f t="shared" si="5"/>
        <v>0</v>
      </c>
      <c r="BA13" s="10">
        <f t="shared" si="6"/>
        <v>780</v>
      </c>
      <c r="BB13" s="10">
        <f t="shared" si="7"/>
        <v>0</v>
      </c>
      <c r="BC13" s="10">
        <f t="shared" si="8"/>
        <v>0</v>
      </c>
      <c r="BD13" s="10">
        <f t="shared" si="8"/>
        <v>180</v>
      </c>
      <c r="BE13" s="10">
        <f t="shared" si="8"/>
        <v>600</v>
      </c>
      <c r="BF13" s="10">
        <f t="shared" si="9"/>
        <v>0</v>
      </c>
      <c r="BG13" s="10">
        <f t="shared" si="10"/>
        <v>0</v>
      </c>
      <c r="BH13" s="10">
        <f t="shared" si="67"/>
        <v>0</v>
      </c>
      <c r="BI13" s="10"/>
      <c r="BJ13" s="10"/>
      <c r="BK13" s="10"/>
      <c r="BL13" s="10"/>
      <c r="BM13" s="10"/>
      <c r="BN13" s="113" t="e">
        <f>AR13/VLOOKUP(AP13,References!$A$3:$C$53,2,FALSE)</f>
        <v>#N/A</v>
      </c>
      <c r="BO13" s="113">
        <f t="shared" si="68"/>
        <v>0</v>
      </c>
      <c r="BP13" s="113">
        <f t="shared" si="11"/>
        <v>0</v>
      </c>
      <c r="BQ13" s="113">
        <f>((R13*(VLOOKUP(Q13,References!$A$57:$D$110,2,FALSE))%)+(S13*(VLOOKUP(Q13,References!$A$57:$D$110,2,FALSE))%)*(CW13+DA13+DM13))</f>
        <v>0</v>
      </c>
      <c r="BR13" s="113">
        <f>((R13*(VLOOKUP(Q13,References!$A$57:$D$110,3,FALSE))%)+(S13*(VLOOKUP(Q13,References!$A$57:$D$110,3,FALSE))%)*(CW13+DA13+DM13))</f>
        <v>0</v>
      </c>
      <c r="BS13" s="113">
        <f>((R13*(VLOOKUP(Q13,References!$A$57:$D$110,4,FALSE))%)+(S13*(VLOOKUP(Q13,References!$A$57:$D$110,4,FALSE))%)*(CW13+DA13+DM13))</f>
        <v>0</v>
      </c>
      <c r="BT13" s="10">
        <f>((((R13+S13)/100)*VLOOKUP(Q13,References!$A$58:$M$110,13,FALSE))*(CW13+DA13+DM13))</f>
        <v>0</v>
      </c>
      <c r="BU13" s="10" t="e">
        <f>(AR13/1000)*VLOOKUP(AP13,References!$A$4:$P$54,11,FALSE)</f>
        <v>#N/A</v>
      </c>
      <c r="BV13" s="10" t="e">
        <f>(AR13/1000)*VLOOKUP(AP13,References!$A$4:$P$54,12,FALSE)</f>
        <v>#N/A</v>
      </c>
      <c r="BW13" s="10" t="e">
        <f>(AR13/1000)*VLOOKUP(AP13,References!$A$4:$P$54,13,FALSE)</f>
        <v>#N/A</v>
      </c>
      <c r="BX13" s="113">
        <f t="shared" si="69"/>
        <v>0</v>
      </c>
      <c r="BY13" s="113">
        <f t="shared" si="12"/>
        <v>0</v>
      </c>
      <c r="BZ13" s="113">
        <f t="shared" si="12"/>
        <v>0</v>
      </c>
      <c r="CA13" s="113">
        <f t="shared" si="13"/>
        <v>0</v>
      </c>
      <c r="CB13" s="113">
        <f t="shared" si="14"/>
        <v>0</v>
      </c>
      <c r="CC13" s="113">
        <f t="shared" si="15"/>
        <v>0</v>
      </c>
      <c r="CD13" s="113">
        <f t="shared" si="16"/>
        <v>0</v>
      </c>
      <c r="CE13" s="113">
        <f t="shared" si="17"/>
        <v>0</v>
      </c>
      <c r="CF13" s="113">
        <f t="shared" si="18"/>
        <v>0</v>
      </c>
      <c r="CG13" s="113"/>
      <c r="CH13" s="113"/>
      <c r="CI13" s="113"/>
      <c r="CJ13" s="113"/>
      <c r="CK13" s="113"/>
      <c r="CL13" s="113"/>
      <c r="CM13" s="113">
        <f t="shared" si="19"/>
        <v>0</v>
      </c>
      <c r="CN13" s="113">
        <f>R13*VLOOKUP(Q13,References!$A$86:$E$158,2,FALSE)+S13*VLOOKUP(Q13,References!$A$86:$E$158,2,FALSE)</f>
        <v>0</v>
      </c>
      <c r="CO13" s="113" t="e">
        <f>((VLOOKUP(Q13,References!$A$86:$E$158,3,FALSE)-(CN13/C$7))/(VLOOKUP(Q13,References!$A$86:$E$158,3,FALSE)))</f>
        <v>#DIV/0!</v>
      </c>
      <c r="CP13" s="101" t="e">
        <f t="shared" si="70"/>
        <v>#DIV/0!</v>
      </c>
      <c r="CQ13" s="113">
        <f t="shared" si="71"/>
        <v>0</v>
      </c>
      <c r="CR13" s="113">
        <f t="shared" si="20"/>
        <v>0</v>
      </c>
      <c r="CS13" s="113">
        <f t="shared" si="20"/>
        <v>0</v>
      </c>
      <c r="CT13" s="113"/>
      <c r="CU13" s="10"/>
      <c r="CV13" s="10"/>
      <c r="CW13" s="7">
        <f t="shared" si="72"/>
        <v>0</v>
      </c>
      <c r="CX13" s="7">
        <f t="shared" si="21"/>
        <v>0</v>
      </c>
      <c r="CY13" s="7">
        <f t="shared" si="22"/>
        <v>0</v>
      </c>
      <c r="CZ13" s="7">
        <f t="shared" si="23"/>
        <v>0</v>
      </c>
      <c r="DA13" s="7">
        <f t="shared" si="73"/>
        <v>0</v>
      </c>
      <c r="DB13" s="7">
        <f t="shared" si="24"/>
        <v>0</v>
      </c>
      <c r="DC13" s="7">
        <f t="shared" si="25"/>
        <v>0</v>
      </c>
      <c r="DD13" s="7">
        <f t="shared" si="26"/>
        <v>0</v>
      </c>
      <c r="DE13" s="7">
        <f t="shared" si="74"/>
        <v>0</v>
      </c>
      <c r="DF13" s="7">
        <f t="shared" si="27"/>
        <v>0</v>
      </c>
      <c r="DG13" s="7">
        <f t="shared" si="28"/>
        <v>0</v>
      </c>
      <c r="DH13" s="7">
        <f t="shared" si="29"/>
        <v>0</v>
      </c>
      <c r="DI13" s="7">
        <f t="shared" si="75"/>
        <v>0</v>
      </c>
      <c r="DJ13" s="7">
        <f t="shared" si="30"/>
        <v>0</v>
      </c>
      <c r="DK13" s="7">
        <f t="shared" si="31"/>
        <v>0</v>
      </c>
      <c r="DL13" s="7">
        <f t="shared" si="32"/>
        <v>0</v>
      </c>
      <c r="DM13" s="7">
        <f t="shared" si="76"/>
        <v>0</v>
      </c>
      <c r="DN13" s="7">
        <f t="shared" si="33"/>
        <v>0</v>
      </c>
      <c r="DO13" s="7">
        <f t="shared" si="34"/>
        <v>0</v>
      </c>
      <c r="DP13" s="7">
        <f t="shared" si="35"/>
        <v>0</v>
      </c>
      <c r="DQ13" s="7">
        <f t="shared" si="77"/>
        <v>0</v>
      </c>
      <c r="DR13" s="7">
        <f t="shared" si="36"/>
        <v>0</v>
      </c>
      <c r="DS13" s="7">
        <f t="shared" si="37"/>
        <v>0</v>
      </c>
      <c r="DT13" s="7">
        <f t="shared" si="38"/>
        <v>0</v>
      </c>
      <c r="DU13" s="7">
        <f t="shared" si="78"/>
        <v>1</v>
      </c>
      <c r="DV13" s="7">
        <f t="shared" si="39"/>
        <v>0</v>
      </c>
      <c r="DW13" s="7">
        <f t="shared" si="40"/>
        <v>180</v>
      </c>
      <c r="DX13" s="7">
        <f t="shared" si="41"/>
        <v>600</v>
      </c>
      <c r="DY13" s="7">
        <f t="shared" si="79"/>
        <v>0</v>
      </c>
      <c r="DZ13" s="7">
        <f t="shared" si="42"/>
        <v>0</v>
      </c>
      <c r="EA13" s="7">
        <f t="shared" si="43"/>
        <v>0</v>
      </c>
      <c r="EB13" s="7">
        <f t="shared" si="44"/>
        <v>0</v>
      </c>
      <c r="EC13" s="7">
        <f t="shared" si="80"/>
        <v>0</v>
      </c>
      <c r="ED13" s="7">
        <f t="shared" si="45"/>
        <v>0</v>
      </c>
      <c r="EE13" s="7">
        <f t="shared" si="46"/>
        <v>0</v>
      </c>
      <c r="EF13" s="7">
        <f t="shared" si="47"/>
        <v>0</v>
      </c>
      <c r="EG13" s="7">
        <f t="shared" si="81"/>
        <v>0</v>
      </c>
      <c r="EH13" s="7">
        <f t="shared" si="48"/>
        <v>0</v>
      </c>
      <c r="EI13" s="7">
        <f t="shared" si="49"/>
        <v>0</v>
      </c>
      <c r="EJ13" s="7">
        <f t="shared" si="50"/>
        <v>0</v>
      </c>
      <c r="EK13" s="7">
        <f t="shared" si="82"/>
        <v>1</v>
      </c>
      <c r="EL13" s="7">
        <f t="shared" si="51"/>
        <v>180</v>
      </c>
      <c r="EM13" s="7"/>
      <c r="EN13" s="63">
        <f t="shared" si="83"/>
        <v>1</v>
      </c>
      <c r="EO13" s="63">
        <f t="shared" si="84"/>
        <v>0</v>
      </c>
      <c r="EP13" s="63" t="str">
        <f t="shared" si="86"/>
        <v>1</v>
      </c>
      <c r="EQ13" s="63" t="str">
        <f t="shared" si="85"/>
        <v>0</v>
      </c>
    </row>
    <row r="14" spans="1:147" x14ac:dyDescent="0.25">
      <c r="A14" s="13"/>
      <c r="B14" s="2"/>
      <c r="C14" s="9"/>
      <c r="D14" s="84" t="s">
        <v>8</v>
      </c>
      <c r="E14" s="84" t="s">
        <v>38</v>
      </c>
      <c r="F14" s="84" t="s">
        <v>31</v>
      </c>
      <c r="G14" s="84" t="s">
        <v>1</v>
      </c>
      <c r="H14" s="16"/>
      <c r="I14" s="6"/>
      <c r="J14" s="6"/>
      <c r="K14" s="6"/>
      <c r="L14" s="6"/>
      <c r="M14" s="19">
        <f t="shared" si="52"/>
        <v>0</v>
      </c>
      <c r="N14" s="19">
        <f t="shared" si="0"/>
        <v>0</v>
      </c>
      <c r="O14" s="9"/>
      <c r="P14" s="9" t="s">
        <v>120</v>
      </c>
      <c r="Q14" s="9" t="s">
        <v>212</v>
      </c>
      <c r="R14" s="9"/>
      <c r="U14" s="4">
        <f t="shared" si="53"/>
        <v>0</v>
      </c>
      <c r="V14" s="1">
        <v>2</v>
      </c>
      <c r="X14" s="1">
        <v>300</v>
      </c>
      <c r="Y14" s="1">
        <v>2</v>
      </c>
      <c r="Z14" s="1">
        <v>2</v>
      </c>
      <c r="AA14" s="1">
        <v>150</v>
      </c>
      <c r="AB14" s="5">
        <f t="shared" si="54"/>
        <v>600</v>
      </c>
      <c r="AC14" s="5">
        <f t="shared" si="55"/>
        <v>600</v>
      </c>
      <c r="AD14" s="5">
        <f t="shared" si="1"/>
        <v>1200</v>
      </c>
      <c r="AE14" s="43">
        <f t="shared" si="2"/>
        <v>1200</v>
      </c>
      <c r="AF14" s="3">
        <f t="shared" si="56"/>
        <v>0</v>
      </c>
      <c r="AG14" s="3">
        <f t="shared" si="57"/>
        <v>0</v>
      </c>
      <c r="AH14" s="3">
        <f t="shared" si="58"/>
        <v>0</v>
      </c>
      <c r="AI14" s="3">
        <f t="shared" si="59"/>
        <v>300</v>
      </c>
      <c r="AJ14" s="3">
        <f t="shared" si="60"/>
        <v>300</v>
      </c>
      <c r="AK14" s="3">
        <f t="shared" si="61"/>
        <v>0</v>
      </c>
      <c r="AL14" s="3">
        <f t="shared" si="62"/>
        <v>0</v>
      </c>
      <c r="AM14" s="3">
        <f t="shared" si="63"/>
        <v>600</v>
      </c>
      <c r="AN14" s="3">
        <f t="shared" si="64"/>
        <v>300</v>
      </c>
      <c r="AO14" s="54">
        <f t="shared" si="65"/>
        <v>900</v>
      </c>
      <c r="AQ14" t="s">
        <v>42</v>
      </c>
      <c r="AU14" s="104">
        <f t="shared" si="66"/>
        <v>0</v>
      </c>
      <c r="AV14" s="104">
        <f t="shared" si="3"/>
        <v>0</v>
      </c>
      <c r="AW14" s="79"/>
      <c r="AY14" s="10">
        <f t="shared" si="4"/>
        <v>2400</v>
      </c>
      <c r="AZ14" s="10">
        <f t="shared" si="5"/>
        <v>600</v>
      </c>
      <c r="BA14" s="10">
        <f t="shared" si="6"/>
        <v>2400</v>
      </c>
      <c r="BB14" s="10">
        <f t="shared" si="7"/>
        <v>0</v>
      </c>
      <c r="BC14" s="10">
        <f t="shared" si="8"/>
        <v>0</v>
      </c>
      <c r="BD14" s="10">
        <f t="shared" si="8"/>
        <v>0</v>
      </c>
      <c r="BE14" s="10">
        <f t="shared" si="8"/>
        <v>2400</v>
      </c>
      <c r="BF14" s="10">
        <f t="shared" si="9"/>
        <v>0</v>
      </c>
      <c r="BG14" s="10">
        <f t="shared" si="10"/>
        <v>0</v>
      </c>
      <c r="BH14" s="10">
        <f t="shared" si="67"/>
        <v>0</v>
      </c>
      <c r="BI14" s="10"/>
      <c r="BJ14" s="10"/>
      <c r="BK14" s="10"/>
      <c r="BL14" s="10"/>
      <c r="BM14" s="10"/>
      <c r="BN14" s="113" t="e">
        <f>AR14/VLOOKUP(AP14,References!$A$3:$C$53,2,FALSE)</f>
        <v>#N/A</v>
      </c>
      <c r="BO14" s="113">
        <f t="shared" si="68"/>
        <v>0</v>
      </c>
      <c r="BP14" s="113">
        <f t="shared" si="11"/>
        <v>0</v>
      </c>
      <c r="BQ14" s="113">
        <f>((R14*(VLOOKUP(Q14,References!$A$57:$D$110,2,FALSE))%)+(S14*(VLOOKUP(Q14,References!$A$57:$D$110,2,FALSE))%)*(CW14+DA14+DM14))</f>
        <v>0</v>
      </c>
      <c r="BR14" s="113">
        <f>((R14*(VLOOKUP(Q14,References!$A$57:$D$110,3,FALSE))%)+(S14*(VLOOKUP(Q14,References!$A$57:$D$110,3,FALSE))%)*(CW14+DA14+DM14))</f>
        <v>0</v>
      </c>
      <c r="BS14" s="113">
        <f>((R14*(VLOOKUP(Q14,References!$A$57:$D$110,4,FALSE))%)+(S14*(VLOOKUP(Q14,References!$A$57:$D$110,4,FALSE))%)*(CW14+DA14+DM14))</f>
        <v>0</v>
      </c>
      <c r="BT14" s="10">
        <f>((((R14+S14)/100)*VLOOKUP(Q14,References!$A$58:$M$110,13,FALSE))*(CW14+DA14+DM14))</f>
        <v>0</v>
      </c>
      <c r="BU14" s="10" t="e">
        <f>(AR14/1000)*VLOOKUP(AP14,References!$A$4:$P$54,11,FALSE)</f>
        <v>#N/A</v>
      </c>
      <c r="BV14" s="10" t="e">
        <f>(AR14/1000)*VLOOKUP(AP14,References!$A$4:$P$54,12,FALSE)</f>
        <v>#N/A</v>
      </c>
      <c r="BW14" s="10" t="e">
        <f>(AR14/1000)*VLOOKUP(AP14,References!$A$4:$P$54,13,FALSE)</f>
        <v>#N/A</v>
      </c>
      <c r="BX14" s="113">
        <f t="shared" si="69"/>
        <v>0</v>
      </c>
      <c r="BY14" s="113">
        <f t="shared" si="12"/>
        <v>0</v>
      </c>
      <c r="BZ14" s="113">
        <f t="shared" si="12"/>
        <v>0</v>
      </c>
      <c r="CA14" s="113">
        <f t="shared" si="13"/>
        <v>0</v>
      </c>
      <c r="CB14" s="113">
        <f t="shared" si="14"/>
        <v>0</v>
      </c>
      <c r="CC14" s="113">
        <f t="shared" si="15"/>
        <v>0</v>
      </c>
      <c r="CD14" s="113">
        <f t="shared" si="16"/>
        <v>0</v>
      </c>
      <c r="CE14" s="113">
        <f t="shared" si="17"/>
        <v>0</v>
      </c>
      <c r="CF14" s="113">
        <f t="shared" si="18"/>
        <v>0</v>
      </c>
      <c r="CG14" s="113"/>
      <c r="CH14" s="113"/>
      <c r="CI14" s="113"/>
      <c r="CJ14" s="113"/>
      <c r="CK14" s="113"/>
      <c r="CL14" s="113"/>
      <c r="CM14" s="113">
        <f t="shared" si="19"/>
        <v>0</v>
      </c>
      <c r="CN14" s="113" t="e">
        <f>R14*VLOOKUP(Q14,References!$A$86:$E$158,2,FALSE)+S14*VLOOKUP(Q14,References!$A$86:$E$158,2,FALSE)</f>
        <v>#N/A</v>
      </c>
      <c r="CO14" s="113" t="e">
        <f>((VLOOKUP(Q14,References!$A$86:$E$158,3,FALSE)-(CN14/C$7))/(VLOOKUP(Q14,References!$A$86:$E$158,3,FALSE)))</f>
        <v>#N/A</v>
      </c>
      <c r="CP14" s="101" t="e">
        <f t="shared" si="70"/>
        <v>#N/A</v>
      </c>
      <c r="CQ14" s="113">
        <f t="shared" si="71"/>
        <v>0</v>
      </c>
      <c r="CR14" s="113">
        <f t="shared" si="20"/>
        <v>0</v>
      </c>
      <c r="CS14" s="113">
        <f t="shared" si="20"/>
        <v>0</v>
      </c>
      <c r="CT14" s="113"/>
      <c r="CU14" s="10"/>
      <c r="CV14" s="10"/>
      <c r="CW14" s="7">
        <f t="shared" si="72"/>
        <v>0</v>
      </c>
      <c r="CX14" s="7">
        <f t="shared" si="21"/>
        <v>0</v>
      </c>
      <c r="CY14" s="7">
        <f t="shared" si="22"/>
        <v>0</v>
      </c>
      <c r="CZ14" s="7">
        <f t="shared" si="23"/>
        <v>0</v>
      </c>
      <c r="DA14" s="7">
        <f t="shared" si="73"/>
        <v>0</v>
      </c>
      <c r="DB14" s="7">
        <f t="shared" si="24"/>
        <v>0</v>
      </c>
      <c r="DC14" s="7">
        <f t="shared" si="25"/>
        <v>0</v>
      </c>
      <c r="DD14" s="7">
        <f t="shared" si="26"/>
        <v>0</v>
      </c>
      <c r="DE14" s="7">
        <f t="shared" si="74"/>
        <v>0</v>
      </c>
      <c r="DF14" s="7">
        <f t="shared" si="27"/>
        <v>0</v>
      </c>
      <c r="DG14" s="7">
        <f t="shared" si="28"/>
        <v>0</v>
      </c>
      <c r="DH14" s="7">
        <f t="shared" si="29"/>
        <v>0</v>
      </c>
      <c r="DI14" s="7">
        <f t="shared" si="75"/>
        <v>0</v>
      </c>
      <c r="DJ14" s="7">
        <f t="shared" si="30"/>
        <v>0</v>
      </c>
      <c r="DK14" s="7">
        <f t="shared" si="31"/>
        <v>0</v>
      </c>
      <c r="DL14" s="7">
        <f t="shared" si="32"/>
        <v>0</v>
      </c>
      <c r="DM14" s="7">
        <f t="shared" si="76"/>
        <v>0</v>
      </c>
      <c r="DN14" s="7">
        <f t="shared" si="33"/>
        <v>0</v>
      </c>
      <c r="DO14" s="7">
        <f t="shared" si="34"/>
        <v>0</v>
      </c>
      <c r="DP14" s="7">
        <f t="shared" si="35"/>
        <v>0</v>
      </c>
      <c r="DQ14" s="7">
        <f t="shared" si="77"/>
        <v>0</v>
      </c>
      <c r="DR14" s="7">
        <f t="shared" si="36"/>
        <v>0</v>
      </c>
      <c r="DS14" s="7">
        <f t="shared" si="37"/>
        <v>0</v>
      </c>
      <c r="DT14" s="7">
        <f t="shared" si="38"/>
        <v>0</v>
      </c>
      <c r="DU14" s="7">
        <f t="shared" si="78"/>
        <v>0</v>
      </c>
      <c r="DV14" s="7">
        <f t="shared" si="39"/>
        <v>0</v>
      </c>
      <c r="DW14" s="7">
        <f t="shared" si="40"/>
        <v>0</v>
      </c>
      <c r="DX14" s="7">
        <f t="shared" si="41"/>
        <v>0</v>
      </c>
      <c r="DY14" s="7">
        <f t="shared" si="79"/>
        <v>1</v>
      </c>
      <c r="DZ14" s="7">
        <f t="shared" si="42"/>
        <v>0</v>
      </c>
      <c r="EA14" s="7">
        <f t="shared" si="43"/>
        <v>0</v>
      </c>
      <c r="EB14" s="7">
        <f t="shared" si="44"/>
        <v>2400</v>
      </c>
      <c r="EC14" s="7">
        <f t="shared" si="80"/>
        <v>0</v>
      </c>
      <c r="ED14" s="7">
        <f t="shared" si="45"/>
        <v>0</v>
      </c>
      <c r="EE14" s="7">
        <f t="shared" si="46"/>
        <v>0</v>
      </c>
      <c r="EF14" s="7">
        <f t="shared" si="47"/>
        <v>0</v>
      </c>
      <c r="EG14" s="7">
        <f t="shared" si="81"/>
        <v>0</v>
      </c>
      <c r="EH14" s="7">
        <f t="shared" si="48"/>
        <v>0</v>
      </c>
      <c r="EI14" s="7">
        <f t="shared" si="49"/>
        <v>0</v>
      </c>
      <c r="EJ14" s="7">
        <f t="shared" si="50"/>
        <v>0</v>
      </c>
      <c r="EK14" s="7">
        <f t="shared" si="82"/>
        <v>1</v>
      </c>
      <c r="EL14" s="7">
        <f t="shared" si="51"/>
        <v>0</v>
      </c>
      <c r="EM14" s="7"/>
      <c r="EN14" s="63">
        <f t="shared" si="83"/>
        <v>1</v>
      </c>
      <c r="EO14" s="63">
        <f t="shared" si="84"/>
        <v>0</v>
      </c>
      <c r="EP14" s="63" t="str">
        <f t="shared" si="86"/>
        <v>1</v>
      </c>
      <c r="EQ14" s="63" t="str">
        <f t="shared" si="85"/>
        <v>0</v>
      </c>
    </row>
    <row r="15" spans="1:147" x14ac:dyDescent="0.25">
      <c r="A15" s="13"/>
      <c r="B15" s="2"/>
      <c r="C15" s="9"/>
      <c r="D15" s="84" t="s">
        <v>23</v>
      </c>
      <c r="E15" s="84" t="s">
        <v>38</v>
      </c>
      <c r="F15" s="84" t="s">
        <v>32</v>
      </c>
      <c r="G15" s="84" t="s">
        <v>1</v>
      </c>
      <c r="H15" s="16"/>
      <c r="I15" s="6"/>
      <c r="J15" s="6"/>
      <c r="K15" s="6"/>
      <c r="L15" s="6"/>
      <c r="M15" s="19">
        <f t="shared" si="52"/>
        <v>0</v>
      </c>
      <c r="N15" s="19">
        <f t="shared" si="0"/>
        <v>0</v>
      </c>
      <c r="O15" s="9" t="s">
        <v>250</v>
      </c>
      <c r="P15" s="9" t="s">
        <v>120</v>
      </c>
      <c r="Q15" s="9" t="s">
        <v>212</v>
      </c>
      <c r="R15" s="9"/>
      <c r="S15" s="1">
        <v>10</v>
      </c>
      <c r="U15" s="4">
        <f t="shared" si="53"/>
        <v>0</v>
      </c>
      <c r="V15" s="1">
        <v>1</v>
      </c>
      <c r="X15" s="1">
        <v>300</v>
      </c>
      <c r="Y15" s="1">
        <v>1</v>
      </c>
      <c r="Z15" s="1">
        <v>1</v>
      </c>
      <c r="AA15" s="1">
        <v>150</v>
      </c>
      <c r="AB15" s="5">
        <f t="shared" si="54"/>
        <v>300</v>
      </c>
      <c r="AC15" s="5">
        <f t="shared" si="55"/>
        <v>300</v>
      </c>
      <c r="AD15" s="5">
        <f t="shared" si="1"/>
        <v>600</v>
      </c>
      <c r="AE15" s="43">
        <f t="shared" si="2"/>
        <v>600</v>
      </c>
      <c r="AF15" s="3">
        <f t="shared" si="56"/>
        <v>0</v>
      </c>
      <c r="AG15" s="3">
        <f t="shared" si="57"/>
        <v>0</v>
      </c>
      <c r="AH15" s="3">
        <f t="shared" si="58"/>
        <v>0</v>
      </c>
      <c r="AI15" s="3">
        <f t="shared" si="59"/>
        <v>150</v>
      </c>
      <c r="AJ15" s="3">
        <f t="shared" si="60"/>
        <v>150</v>
      </c>
      <c r="AK15" s="3">
        <f t="shared" si="61"/>
        <v>0</v>
      </c>
      <c r="AL15" s="3">
        <f t="shared" si="62"/>
        <v>0</v>
      </c>
      <c r="AM15" s="3">
        <f t="shared" si="63"/>
        <v>300</v>
      </c>
      <c r="AN15" s="3">
        <f t="shared" si="64"/>
        <v>150</v>
      </c>
      <c r="AO15" s="54">
        <f t="shared" si="65"/>
        <v>450</v>
      </c>
      <c r="AQ15" t="s">
        <v>42</v>
      </c>
      <c r="AU15" s="104">
        <f t="shared" si="66"/>
        <v>0</v>
      </c>
      <c r="AV15" s="104">
        <f t="shared" si="3"/>
        <v>0</v>
      </c>
      <c r="AW15" s="79"/>
      <c r="AY15" s="10">
        <f t="shared" si="4"/>
        <v>1200</v>
      </c>
      <c r="AZ15" s="10">
        <f t="shared" si="5"/>
        <v>300</v>
      </c>
      <c r="BA15" s="10">
        <f t="shared" si="6"/>
        <v>1200</v>
      </c>
      <c r="BB15" s="10">
        <f t="shared" si="7"/>
        <v>0</v>
      </c>
      <c r="BC15" s="10">
        <f t="shared" si="8"/>
        <v>0</v>
      </c>
      <c r="BD15" s="10">
        <f t="shared" si="8"/>
        <v>0</v>
      </c>
      <c r="BE15" s="10">
        <f t="shared" si="8"/>
        <v>1200</v>
      </c>
      <c r="BF15" s="10">
        <f t="shared" si="9"/>
        <v>0</v>
      </c>
      <c r="BG15" s="10">
        <f t="shared" si="10"/>
        <v>0</v>
      </c>
      <c r="BH15" s="10">
        <f t="shared" si="67"/>
        <v>0</v>
      </c>
      <c r="BI15" s="10"/>
      <c r="BJ15" s="10"/>
      <c r="BK15" s="10"/>
      <c r="BL15" s="10"/>
      <c r="BM15" s="10"/>
      <c r="BN15" s="113" t="e">
        <f>AR15/VLOOKUP(AP15,References!$A$3:$C$53,2,FALSE)</f>
        <v>#N/A</v>
      </c>
      <c r="BO15" s="113">
        <f t="shared" si="68"/>
        <v>0</v>
      </c>
      <c r="BP15" s="113">
        <f t="shared" si="11"/>
        <v>0</v>
      </c>
      <c r="BQ15" s="113">
        <f>((R15*(VLOOKUP(Q15,References!$A$57:$D$110,2,FALSE))%)+(S15*(VLOOKUP(Q15,References!$A$57:$D$110,2,FALSE))%)*(CW15+DA15+DM15))</f>
        <v>0</v>
      </c>
      <c r="BR15" s="113">
        <f>((R15*(VLOOKUP(Q15,References!$A$57:$D$110,3,FALSE))%)+(S15*(VLOOKUP(Q15,References!$A$57:$D$110,3,FALSE))%)*(CW15+DA15+DM15))</f>
        <v>0</v>
      </c>
      <c r="BS15" s="113">
        <f>((R15*(VLOOKUP(Q15,References!$A$57:$D$110,4,FALSE))%)+(S15*(VLOOKUP(Q15,References!$A$57:$D$110,4,FALSE))%)*(CW15+DA15+DM15))</f>
        <v>0</v>
      </c>
      <c r="BT15" s="10">
        <f>((((R15+S15)/100)*VLOOKUP(Q15,References!$A$58:$M$110,13,FALSE))*(CW15+DA15+DM15))</f>
        <v>0</v>
      </c>
      <c r="BU15" s="10" t="e">
        <f>(AR15/1000)*VLOOKUP(AP15,References!$A$4:$P$54,11,FALSE)</f>
        <v>#N/A</v>
      </c>
      <c r="BV15" s="10" t="e">
        <f>(AR15/1000)*VLOOKUP(AP15,References!$A$4:$P$54,12,FALSE)</f>
        <v>#N/A</v>
      </c>
      <c r="BW15" s="10" t="e">
        <f>(AR15/1000)*VLOOKUP(AP15,References!$A$4:$P$54,13,FALSE)</f>
        <v>#N/A</v>
      </c>
      <c r="BX15" s="113">
        <f t="shared" si="69"/>
        <v>0</v>
      </c>
      <c r="BY15" s="113">
        <f t="shared" si="12"/>
        <v>0</v>
      </c>
      <c r="BZ15" s="113">
        <f t="shared" si="12"/>
        <v>0</v>
      </c>
      <c r="CA15" s="113">
        <f t="shared" si="13"/>
        <v>0</v>
      </c>
      <c r="CB15" s="113">
        <f t="shared" si="14"/>
        <v>0</v>
      </c>
      <c r="CC15" s="113">
        <f t="shared" si="15"/>
        <v>0</v>
      </c>
      <c r="CD15" s="113">
        <f t="shared" si="16"/>
        <v>0</v>
      </c>
      <c r="CE15" s="113">
        <f t="shared" si="17"/>
        <v>0</v>
      </c>
      <c r="CF15" s="113">
        <f t="shared" si="18"/>
        <v>0</v>
      </c>
      <c r="CG15" s="113"/>
      <c r="CH15" s="113"/>
      <c r="CI15" s="113"/>
      <c r="CJ15" s="113"/>
      <c r="CK15" s="113"/>
      <c r="CL15" s="113"/>
      <c r="CM15" s="113">
        <f t="shared" si="19"/>
        <v>0</v>
      </c>
      <c r="CN15" s="113" t="e">
        <f>R15*VLOOKUP(Q15,References!$A$86:$E$158,2,FALSE)+S15*VLOOKUP(Q15,References!$A$86:$E$158,2,FALSE)</f>
        <v>#N/A</v>
      </c>
      <c r="CO15" s="113" t="e">
        <f>((VLOOKUP(Q15,References!$A$86:$E$158,3,FALSE)-(CN15/C$7))/(VLOOKUP(Q15,References!$A$86:$E$158,3,FALSE)))</f>
        <v>#N/A</v>
      </c>
      <c r="CP15" s="101" t="e">
        <f t="shared" si="70"/>
        <v>#N/A</v>
      </c>
      <c r="CQ15" s="113">
        <f t="shared" si="71"/>
        <v>0</v>
      </c>
      <c r="CR15" s="113">
        <f t="shared" si="20"/>
        <v>0</v>
      </c>
      <c r="CS15" s="113">
        <f t="shared" si="20"/>
        <v>0</v>
      </c>
      <c r="CT15" s="113"/>
      <c r="CU15" s="10"/>
      <c r="CV15" s="10"/>
      <c r="CW15" s="7">
        <f t="shared" si="72"/>
        <v>0</v>
      </c>
      <c r="CX15" s="7">
        <f t="shared" si="21"/>
        <v>0</v>
      </c>
      <c r="CY15" s="7">
        <f t="shared" si="22"/>
        <v>0</v>
      </c>
      <c r="CZ15" s="7">
        <f t="shared" si="23"/>
        <v>0</v>
      </c>
      <c r="DA15" s="7">
        <f t="shared" si="73"/>
        <v>0</v>
      </c>
      <c r="DB15" s="7">
        <f t="shared" si="24"/>
        <v>0</v>
      </c>
      <c r="DC15" s="7">
        <f t="shared" si="25"/>
        <v>0</v>
      </c>
      <c r="DD15" s="7">
        <f t="shared" si="26"/>
        <v>0</v>
      </c>
      <c r="DE15" s="7">
        <f t="shared" si="74"/>
        <v>0</v>
      </c>
      <c r="DF15" s="7">
        <f t="shared" si="27"/>
        <v>0</v>
      </c>
      <c r="DG15" s="7">
        <f t="shared" si="28"/>
        <v>0</v>
      </c>
      <c r="DH15" s="7">
        <f t="shared" si="29"/>
        <v>0</v>
      </c>
      <c r="DI15" s="7">
        <f t="shared" si="75"/>
        <v>0</v>
      </c>
      <c r="DJ15" s="7">
        <f t="shared" si="30"/>
        <v>0</v>
      </c>
      <c r="DK15" s="7">
        <f t="shared" si="31"/>
        <v>0</v>
      </c>
      <c r="DL15" s="7">
        <f t="shared" si="32"/>
        <v>0</v>
      </c>
      <c r="DM15" s="7">
        <f t="shared" si="76"/>
        <v>0</v>
      </c>
      <c r="DN15" s="7">
        <f t="shared" si="33"/>
        <v>0</v>
      </c>
      <c r="DO15" s="7">
        <f t="shared" si="34"/>
        <v>0</v>
      </c>
      <c r="DP15" s="7">
        <f t="shared" si="35"/>
        <v>0</v>
      </c>
      <c r="DQ15" s="7">
        <f t="shared" si="77"/>
        <v>1</v>
      </c>
      <c r="DR15" s="7">
        <f t="shared" si="36"/>
        <v>0</v>
      </c>
      <c r="DS15" s="7">
        <f t="shared" si="37"/>
        <v>0</v>
      </c>
      <c r="DT15" s="7">
        <f t="shared" si="38"/>
        <v>1200</v>
      </c>
      <c r="DU15" s="7">
        <f t="shared" si="78"/>
        <v>0</v>
      </c>
      <c r="DV15" s="7">
        <f t="shared" si="39"/>
        <v>0</v>
      </c>
      <c r="DW15" s="7">
        <f t="shared" si="40"/>
        <v>0</v>
      </c>
      <c r="DX15" s="7">
        <f t="shared" si="41"/>
        <v>0</v>
      </c>
      <c r="DY15" s="7">
        <f t="shared" si="79"/>
        <v>0</v>
      </c>
      <c r="DZ15" s="7">
        <f t="shared" si="42"/>
        <v>0</v>
      </c>
      <c r="EA15" s="7">
        <f t="shared" si="43"/>
        <v>0</v>
      </c>
      <c r="EB15" s="7">
        <f t="shared" si="44"/>
        <v>0</v>
      </c>
      <c r="EC15" s="7">
        <f t="shared" si="80"/>
        <v>0</v>
      </c>
      <c r="ED15" s="7">
        <f t="shared" si="45"/>
        <v>0</v>
      </c>
      <c r="EE15" s="7">
        <f t="shared" si="46"/>
        <v>0</v>
      </c>
      <c r="EF15" s="7">
        <f t="shared" si="47"/>
        <v>0</v>
      </c>
      <c r="EG15" s="7">
        <f t="shared" si="81"/>
        <v>0</v>
      </c>
      <c r="EH15" s="7">
        <f t="shared" si="48"/>
        <v>0</v>
      </c>
      <c r="EI15" s="7">
        <f t="shared" si="49"/>
        <v>0</v>
      </c>
      <c r="EJ15" s="7">
        <f t="shared" si="50"/>
        <v>0</v>
      </c>
      <c r="EK15" s="7">
        <f t="shared" si="82"/>
        <v>1</v>
      </c>
      <c r="EL15" s="7">
        <f t="shared" si="51"/>
        <v>0</v>
      </c>
      <c r="EM15" s="7"/>
      <c r="EN15" s="63">
        <f t="shared" si="83"/>
        <v>1</v>
      </c>
      <c r="EO15" s="63">
        <f t="shared" si="84"/>
        <v>0</v>
      </c>
      <c r="EP15" s="63" t="str">
        <f t="shared" si="86"/>
        <v>1</v>
      </c>
      <c r="EQ15" s="63" t="str">
        <f t="shared" si="85"/>
        <v>0</v>
      </c>
    </row>
    <row r="16" spans="1:147" x14ac:dyDescent="0.25">
      <c r="A16" s="13"/>
      <c r="B16" s="2"/>
      <c r="C16" s="9"/>
      <c r="D16" s="84" t="s">
        <v>33</v>
      </c>
      <c r="E16" s="84" t="s">
        <v>13</v>
      </c>
      <c r="F16" s="84" t="s">
        <v>28</v>
      </c>
      <c r="G16" s="84" t="s">
        <v>1</v>
      </c>
      <c r="H16" s="16"/>
      <c r="I16" s="6"/>
      <c r="J16" s="6"/>
      <c r="K16" s="6"/>
      <c r="L16" s="6"/>
      <c r="M16" s="19">
        <f t="shared" si="52"/>
        <v>0</v>
      </c>
      <c r="N16" s="19">
        <f t="shared" si="0"/>
        <v>0</v>
      </c>
      <c r="O16" s="9" t="s">
        <v>110</v>
      </c>
      <c r="P16" s="9" t="s">
        <v>120</v>
      </c>
      <c r="Q16" s="9" t="s">
        <v>212</v>
      </c>
      <c r="R16" s="9">
        <v>2</v>
      </c>
      <c r="T16" s="1">
        <v>30</v>
      </c>
      <c r="U16" s="4">
        <f t="shared" si="53"/>
        <v>60</v>
      </c>
      <c r="AB16" s="5">
        <f t="shared" si="54"/>
        <v>0</v>
      </c>
      <c r="AC16" s="5">
        <f t="shared" si="55"/>
        <v>0</v>
      </c>
      <c r="AD16" s="5">
        <f t="shared" si="1"/>
        <v>0</v>
      </c>
      <c r="AE16" s="43">
        <f t="shared" si="2"/>
        <v>60</v>
      </c>
      <c r="AF16" s="3">
        <f t="shared" si="56"/>
        <v>0</v>
      </c>
      <c r="AG16" s="3">
        <f t="shared" si="57"/>
        <v>0</v>
      </c>
      <c r="AH16" s="3">
        <f t="shared" si="58"/>
        <v>0</v>
      </c>
      <c r="AI16" s="3">
        <f t="shared" si="59"/>
        <v>0</v>
      </c>
      <c r="AJ16" s="3">
        <f t="shared" si="60"/>
        <v>0</v>
      </c>
      <c r="AK16" s="3">
        <f t="shared" si="61"/>
        <v>0</v>
      </c>
      <c r="AL16" s="3">
        <f t="shared" si="62"/>
        <v>60</v>
      </c>
      <c r="AM16" s="3">
        <f t="shared" si="63"/>
        <v>0</v>
      </c>
      <c r="AN16" s="3">
        <f t="shared" si="64"/>
        <v>0</v>
      </c>
      <c r="AO16" s="54">
        <f t="shared" si="65"/>
        <v>60</v>
      </c>
      <c r="AQ16" t="s">
        <v>42</v>
      </c>
      <c r="AU16" s="104">
        <f t="shared" si="66"/>
        <v>0</v>
      </c>
      <c r="AV16" s="104">
        <f t="shared" si="3"/>
        <v>0</v>
      </c>
      <c r="AW16" s="79"/>
      <c r="AY16" s="10">
        <f t="shared" si="4"/>
        <v>120</v>
      </c>
      <c r="AZ16" s="10">
        <f t="shared" si="5"/>
        <v>0</v>
      </c>
      <c r="BA16" s="10">
        <f t="shared" si="6"/>
        <v>0</v>
      </c>
      <c r="BB16" s="10">
        <f t="shared" si="7"/>
        <v>120</v>
      </c>
      <c r="BC16" s="10">
        <f t="shared" si="8"/>
        <v>0</v>
      </c>
      <c r="BD16" s="10">
        <f t="shared" si="8"/>
        <v>120</v>
      </c>
      <c r="BE16" s="10">
        <f t="shared" si="8"/>
        <v>0</v>
      </c>
      <c r="BF16" s="10">
        <f t="shared" si="9"/>
        <v>0</v>
      </c>
      <c r="BG16" s="10">
        <f t="shared" si="10"/>
        <v>0</v>
      </c>
      <c r="BH16" s="10">
        <f t="shared" si="67"/>
        <v>0</v>
      </c>
      <c r="BI16" s="10"/>
      <c r="BJ16" s="10"/>
      <c r="BK16" s="10"/>
      <c r="BL16" s="10"/>
      <c r="BM16" s="10"/>
      <c r="BN16" s="113" t="e">
        <f>AR16/VLOOKUP(AP16,References!$A$3:$C$53,2,FALSE)</f>
        <v>#N/A</v>
      </c>
      <c r="BO16" s="113">
        <f t="shared" si="68"/>
        <v>0</v>
      </c>
      <c r="BP16" s="113">
        <f t="shared" si="11"/>
        <v>0</v>
      </c>
      <c r="BQ16" s="113">
        <f>((R16*(VLOOKUP(Q16,References!$A$57:$D$110,2,FALSE))%)+(S16*(VLOOKUP(Q16,References!$A$57:$D$110,2,FALSE))%)*(CW16+DA16+DM16))</f>
        <v>0</v>
      </c>
      <c r="BR16" s="113">
        <f>((R16*(VLOOKUP(Q16,References!$A$57:$D$110,3,FALSE))%)+(S16*(VLOOKUP(Q16,References!$A$57:$D$110,3,FALSE))%)*(CW16+DA16+DM16))</f>
        <v>0</v>
      </c>
      <c r="BS16" s="113">
        <f>((R16*(VLOOKUP(Q16,References!$A$57:$D$110,4,FALSE))%)+(S16*(VLOOKUP(Q16,References!$A$57:$D$110,4,FALSE))%)*(CW16+DA16+DM16))</f>
        <v>0</v>
      </c>
      <c r="BT16" s="10">
        <f>((((R16+S16)/100)*VLOOKUP(Q16,References!$A$58:$M$110,13,FALSE))*(CW16+DA16+DM16))</f>
        <v>0</v>
      </c>
      <c r="BU16" s="10" t="e">
        <f>(AR16/1000)*VLOOKUP(AP16,References!$A$4:$P$54,11,FALSE)</f>
        <v>#N/A</v>
      </c>
      <c r="BV16" s="10" t="e">
        <f>(AR16/1000)*VLOOKUP(AP16,References!$A$4:$P$54,12,FALSE)</f>
        <v>#N/A</v>
      </c>
      <c r="BW16" s="10" t="e">
        <f>(AR16/1000)*VLOOKUP(AP16,References!$A$4:$P$54,13,FALSE)</f>
        <v>#N/A</v>
      </c>
      <c r="BX16" s="113">
        <f t="shared" si="69"/>
        <v>0</v>
      </c>
      <c r="BY16" s="113">
        <f t="shared" si="12"/>
        <v>0</v>
      </c>
      <c r="BZ16" s="113">
        <f t="shared" si="12"/>
        <v>0</v>
      </c>
      <c r="CA16" s="113">
        <f t="shared" si="13"/>
        <v>0</v>
      </c>
      <c r="CB16" s="113">
        <f t="shared" si="14"/>
        <v>0</v>
      </c>
      <c r="CC16" s="113">
        <f t="shared" si="15"/>
        <v>0</v>
      </c>
      <c r="CD16" s="113">
        <f t="shared" si="16"/>
        <v>0</v>
      </c>
      <c r="CE16" s="113">
        <f t="shared" si="17"/>
        <v>0</v>
      </c>
      <c r="CF16" s="113">
        <f t="shared" si="18"/>
        <v>0</v>
      </c>
      <c r="CG16" s="113"/>
      <c r="CH16" s="113"/>
      <c r="CI16" s="113"/>
      <c r="CJ16" s="113"/>
      <c r="CK16" s="113"/>
      <c r="CL16" s="113"/>
      <c r="CM16" s="113">
        <f t="shared" si="19"/>
        <v>0</v>
      </c>
      <c r="CN16" s="113" t="e">
        <f>R16*VLOOKUP(Q16,References!$A$86:$E$158,2,FALSE)+S16*VLOOKUP(Q16,References!$A$86:$E$158,2,FALSE)</f>
        <v>#N/A</v>
      </c>
      <c r="CO16" s="113" t="e">
        <f>((VLOOKUP(Q16,References!$A$86:$E$158,3,FALSE)-(CN16/C$7))/(VLOOKUP(Q16,References!$A$86:$E$158,3,FALSE)))</f>
        <v>#N/A</v>
      </c>
      <c r="CP16" s="101" t="e">
        <f t="shared" si="70"/>
        <v>#N/A</v>
      </c>
      <c r="CQ16" s="113">
        <f t="shared" si="71"/>
        <v>0</v>
      </c>
      <c r="CR16" s="113">
        <f t="shared" si="20"/>
        <v>0</v>
      </c>
      <c r="CS16" s="113">
        <f t="shared" si="20"/>
        <v>0</v>
      </c>
      <c r="CT16" s="113"/>
      <c r="CU16" s="10"/>
      <c r="CV16" s="10"/>
      <c r="CW16" s="7">
        <f t="shared" si="72"/>
        <v>0</v>
      </c>
      <c r="CX16" s="7">
        <f t="shared" si="21"/>
        <v>0</v>
      </c>
      <c r="CY16" s="7">
        <f t="shared" si="22"/>
        <v>0</v>
      </c>
      <c r="CZ16" s="7">
        <f t="shared" si="23"/>
        <v>0</v>
      </c>
      <c r="DA16" s="7">
        <f t="shared" si="73"/>
        <v>0</v>
      </c>
      <c r="DB16" s="7">
        <f t="shared" si="24"/>
        <v>0</v>
      </c>
      <c r="DC16" s="7">
        <f t="shared" si="25"/>
        <v>0</v>
      </c>
      <c r="DD16" s="7">
        <f t="shared" si="26"/>
        <v>0</v>
      </c>
      <c r="DE16" s="7">
        <f t="shared" si="74"/>
        <v>1</v>
      </c>
      <c r="DF16" s="7">
        <f t="shared" si="27"/>
        <v>0</v>
      </c>
      <c r="DG16" s="7">
        <f t="shared" si="28"/>
        <v>120</v>
      </c>
      <c r="DH16" s="7">
        <f t="shared" si="29"/>
        <v>0</v>
      </c>
      <c r="DI16" s="7">
        <f t="shared" si="75"/>
        <v>0</v>
      </c>
      <c r="DJ16" s="7">
        <f t="shared" si="30"/>
        <v>0</v>
      </c>
      <c r="DK16" s="7">
        <f t="shared" si="31"/>
        <v>0</v>
      </c>
      <c r="DL16" s="7">
        <f t="shared" si="32"/>
        <v>0</v>
      </c>
      <c r="DM16" s="7">
        <f t="shared" si="76"/>
        <v>0</v>
      </c>
      <c r="DN16" s="7">
        <f t="shared" si="33"/>
        <v>0</v>
      </c>
      <c r="DO16" s="7">
        <f t="shared" si="34"/>
        <v>0</v>
      </c>
      <c r="DP16" s="7">
        <f t="shared" si="35"/>
        <v>0</v>
      </c>
      <c r="DQ16" s="7">
        <f t="shared" si="77"/>
        <v>0</v>
      </c>
      <c r="DR16" s="7">
        <f t="shared" si="36"/>
        <v>0</v>
      </c>
      <c r="DS16" s="7">
        <f t="shared" si="37"/>
        <v>0</v>
      </c>
      <c r="DT16" s="7">
        <f t="shared" si="38"/>
        <v>0</v>
      </c>
      <c r="DU16" s="7">
        <f t="shared" si="78"/>
        <v>0</v>
      </c>
      <c r="DV16" s="7">
        <f t="shared" si="39"/>
        <v>0</v>
      </c>
      <c r="DW16" s="7">
        <f t="shared" si="40"/>
        <v>0</v>
      </c>
      <c r="DX16" s="7">
        <f t="shared" si="41"/>
        <v>0</v>
      </c>
      <c r="DY16" s="7">
        <f t="shared" si="79"/>
        <v>0</v>
      </c>
      <c r="DZ16" s="7">
        <f t="shared" si="42"/>
        <v>0</v>
      </c>
      <c r="EA16" s="7">
        <f t="shared" si="43"/>
        <v>0</v>
      </c>
      <c r="EB16" s="7">
        <f t="shared" si="44"/>
        <v>0</v>
      </c>
      <c r="EC16" s="7">
        <f t="shared" si="80"/>
        <v>0</v>
      </c>
      <c r="ED16" s="7">
        <f t="shared" si="45"/>
        <v>0</v>
      </c>
      <c r="EE16" s="7">
        <f t="shared" si="46"/>
        <v>0</v>
      </c>
      <c r="EF16" s="7">
        <f t="shared" si="47"/>
        <v>0</v>
      </c>
      <c r="EG16" s="7">
        <f t="shared" si="81"/>
        <v>0</v>
      </c>
      <c r="EH16" s="7">
        <f t="shared" si="48"/>
        <v>0</v>
      </c>
      <c r="EI16" s="7">
        <f t="shared" si="49"/>
        <v>0</v>
      </c>
      <c r="EJ16" s="7">
        <f t="shared" si="50"/>
        <v>0</v>
      </c>
      <c r="EK16" s="7">
        <f t="shared" si="82"/>
        <v>1</v>
      </c>
      <c r="EL16" s="7">
        <f t="shared" si="51"/>
        <v>120</v>
      </c>
      <c r="EM16" s="7"/>
      <c r="EN16" s="63">
        <f t="shared" si="83"/>
        <v>0</v>
      </c>
      <c r="EO16" s="63">
        <f t="shared" si="84"/>
        <v>1</v>
      </c>
      <c r="EP16" s="63" t="str">
        <f t="shared" si="86"/>
        <v>1</v>
      </c>
      <c r="EQ16" s="63" t="str">
        <f t="shared" si="85"/>
        <v>0</v>
      </c>
    </row>
    <row r="17" spans="1:147" x14ac:dyDescent="0.25">
      <c r="A17" s="13"/>
      <c r="B17" s="2"/>
      <c r="C17" s="9"/>
      <c r="D17" s="84" t="s">
        <v>23</v>
      </c>
      <c r="E17" s="84" t="s">
        <v>38</v>
      </c>
      <c r="F17" s="84" t="s">
        <v>29</v>
      </c>
      <c r="G17" s="84" t="s">
        <v>1</v>
      </c>
      <c r="H17" s="16"/>
      <c r="I17" s="6"/>
      <c r="J17" s="6"/>
      <c r="K17" s="6"/>
      <c r="L17" s="6"/>
      <c r="M17" s="19">
        <f t="shared" si="52"/>
        <v>0</v>
      </c>
      <c r="N17" s="19">
        <f t="shared" si="0"/>
        <v>0</v>
      </c>
      <c r="O17" s="9"/>
      <c r="P17" s="9" t="s">
        <v>120</v>
      </c>
      <c r="Q17" s="9" t="s">
        <v>212</v>
      </c>
      <c r="R17" s="9"/>
      <c r="U17" s="4">
        <f t="shared" si="53"/>
        <v>0</v>
      </c>
      <c r="AB17" s="5">
        <f t="shared" si="54"/>
        <v>0</v>
      </c>
      <c r="AC17" s="5">
        <f t="shared" si="55"/>
        <v>0</v>
      </c>
      <c r="AD17" s="5">
        <f t="shared" si="1"/>
        <v>0</v>
      </c>
      <c r="AE17" s="43">
        <f t="shared" si="2"/>
        <v>0</v>
      </c>
      <c r="AF17" s="3">
        <f t="shared" si="56"/>
        <v>0</v>
      </c>
      <c r="AG17" s="3">
        <f t="shared" si="57"/>
        <v>0</v>
      </c>
      <c r="AH17" s="3">
        <f t="shared" si="58"/>
        <v>0</v>
      </c>
      <c r="AI17" s="3">
        <f t="shared" si="59"/>
        <v>0</v>
      </c>
      <c r="AJ17" s="3">
        <f t="shared" si="60"/>
        <v>0</v>
      </c>
      <c r="AK17" s="3">
        <f t="shared" si="61"/>
        <v>0</v>
      </c>
      <c r="AL17" s="3">
        <f t="shared" si="62"/>
        <v>0</v>
      </c>
      <c r="AM17" s="3">
        <f t="shared" si="63"/>
        <v>0</v>
      </c>
      <c r="AN17" s="3">
        <f t="shared" si="64"/>
        <v>0</v>
      </c>
      <c r="AO17" s="54">
        <f t="shared" si="65"/>
        <v>0</v>
      </c>
      <c r="AQ17" t="s">
        <v>42</v>
      </c>
      <c r="AU17" s="104">
        <f t="shared" si="66"/>
        <v>0</v>
      </c>
      <c r="AV17" s="104">
        <f t="shared" si="3"/>
        <v>0</v>
      </c>
      <c r="AW17" s="79"/>
      <c r="AY17" s="10">
        <f t="shared" si="4"/>
        <v>0</v>
      </c>
      <c r="AZ17" s="10">
        <f t="shared" si="5"/>
        <v>0</v>
      </c>
      <c r="BA17" s="10">
        <f t="shared" si="6"/>
        <v>0</v>
      </c>
      <c r="BB17" s="10">
        <f t="shared" si="7"/>
        <v>0</v>
      </c>
      <c r="BC17" s="10">
        <f t="shared" si="8"/>
        <v>0</v>
      </c>
      <c r="BD17" s="10">
        <f t="shared" si="8"/>
        <v>0</v>
      </c>
      <c r="BE17" s="10">
        <f t="shared" si="8"/>
        <v>0</v>
      </c>
      <c r="BF17" s="10">
        <f t="shared" si="9"/>
        <v>0</v>
      </c>
      <c r="BG17" s="10">
        <f t="shared" si="10"/>
        <v>0</v>
      </c>
      <c r="BH17" s="10">
        <f t="shared" si="67"/>
        <v>0</v>
      </c>
      <c r="BI17" s="10"/>
      <c r="BJ17" s="10"/>
      <c r="BK17" s="10"/>
      <c r="BL17" s="10"/>
      <c r="BM17" s="10"/>
      <c r="BN17" s="113" t="e">
        <f>AR17/VLOOKUP(AP17,References!$A$3:$C$53,2,FALSE)</f>
        <v>#N/A</v>
      </c>
      <c r="BO17" s="113">
        <f t="shared" si="68"/>
        <v>0</v>
      </c>
      <c r="BP17" s="113">
        <f t="shared" si="11"/>
        <v>0</v>
      </c>
      <c r="BQ17" s="113">
        <f>((R17*(VLOOKUP(Q17,References!$A$57:$D$110,2,FALSE))%)+(S17*(VLOOKUP(Q17,References!$A$57:$D$110,2,FALSE))%)*(CW17+DA17+DM17))</f>
        <v>0</v>
      </c>
      <c r="BR17" s="113">
        <f>((R17*(VLOOKUP(Q17,References!$A$57:$D$110,3,FALSE))%)+(S17*(VLOOKUP(Q17,References!$A$57:$D$110,3,FALSE))%)*(CW17+DA17+DM17))</f>
        <v>0</v>
      </c>
      <c r="BS17" s="113">
        <f>((R17*(VLOOKUP(Q17,References!$A$57:$D$110,4,FALSE))%)+(S17*(VLOOKUP(Q17,References!$A$57:$D$110,4,FALSE))%)*(CW17+DA17+DM17))</f>
        <v>0</v>
      </c>
      <c r="BT17" s="10">
        <f>((((R17+S17)/100)*VLOOKUP(Q17,References!$A$58:$M$110,13,FALSE))*(CW17+DA17+DM17))</f>
        <v>0</v>
      </c>
      <c r="BU17" s="10" t="e">
        <f>(AR17/1000)*VLOOKUP(AP17,References!$A$4:$P$54,11,FALSE)</f>
        <v>#N/A</v>
      </c>
      <c r="BV17" s="10" t="e">
        <f>(AR17/1000)*VLOOKUP(AP17,References!$A$4:$P$54,12,FALSE)</f>
        <v>#N/A</v>
      </c>
      <c r="BW17" s="10" t="e">
        <f>(AR17/1000)*VLOOKUP(AP17,References!$A$4:$P$54,13,FALSE)</f>
        <v>#N/A</v>
      </c>
      <c r="BX17" s="113">
        <f t="shared" si="69"/>
        <v>0</v>
      </c>
      <c r="BY17" s="113">
        <f t="shared" si="12"/>
        <v>0</v>
      </c>
      <c r="BZ17" s="113">
        <f t="shared" si="12"/>
        <v>0</v>
      </c>
      <c r="CA17" s="113">
        <f t="shared" si="13"/>
        <v>0</v>
      </c>
      <c r="CB17" s="113">
        <f t="shared" si="14"/>
        <v>0</v>
      </c>
      <c r="CC17" s="113">
        <f t="shared" si="15"/>
        <v>0</v>
      </c>
      <c r="CD17" s="113">
        <f t="shared" si="16"/>
        <v>0</v>
      </c>
      <c r="CE17" s="113">
        <f t="shared" si="17"/>
        <v>0</v>
      </c>
      <c r="CF17" s="113">
        <f t="shared" si="18"/>
        <v>0</v>
      </c>
      <c r="CG17" s="113"/>
      <c r="CH17" s="113"/>
      <c r="CI17" s="113"/>
      <c r="CJ17" s="113"/>
      <c r="CK17" s="113"/>
      <c r="CL17" s="113"/>
      <c r="CM17" s="113">
        <f t="shared" si="19"/>
        <v>0</v>
      </c>
      <c r="CN17" s="113" t="e">
        <f>R17*VLOOKUP(Q17,References!$A$86:$E$158,2,FALSE)+S17*VLOOKUP(Q17,References!$A$86:$E$158,2,FALSE)</f>
        <v>#N/A</v>
      </c>
      <c r="CO17" s="113" t="e">
        <f>((VLOOKUP(Q17,References!$A$86:$E$158,3,FALSE)-(CN17/C$7))/(VLOOKUP(Q17,References!$A$86:$E$158,3,FALSE)))</f>
        <v>#N/A</v>
      </c>
      <c r="CP17" s="101" t="e">
        <f t="shared" si="70"/>
        <v>#N/A</v>
      </c>
      <c r="CQ17" s="113">
        <f t="shared" si="71"/>
        <v>0</v>
      </c>
      <c r="CR17" s="113">
        <f t="shared" si="20"/>
        <v>0</v>
      </c>
      <c r="CS17" s="113">
        <f t="shared" si="20"/>
        <v>0</v>
      </c>
      <c r="CT17" s="113"/>
      <c r="CU17" s="10"/>
      <c r="CV17" s="10"/>
      <c r="CW17" s="7">
        <f t="shared" si="72"/>
        <v>0</v>
      </c>
      <c r="CX17" s="7">
        <f t="shared" si="21"/>
        <v>0</v>
      </c>
      <c r="CY17" s="7">
        <f t="shared" si="22"/>
        <v>0</v>
      </c>
      <c r="CZ17" s="7">
        <f t="shared" si="23"/>
        <v>0</v>
      </c>
      <c r="DA17" s="7">
        <f t="shared" si="73"/>
        <v>0</v>
      </c>
      <c r="DB17" s="7">
        <f t="shared" si="24"/>
        <v>0</v>
      </c>
      <c r="DC17" s="7">
        <f t="shared" si="25"/>
        <v>0</v>
      </c>
      <c r="DD17" s="7">
        <f t="shared" si="26"/>
        <v>0</v>
      </c>
      <c r="DE17" s="7">
        <f t="shared" si="74"/>
        <v>0</v>
      </c>
      <c r="DF17" s="7">
        <f t="shared" si="27"/>
        <v>0</v>
      </c>
      <c r="DG17" s="7">
        <f t="shared" si="28"/>
        <v>0</v>
      </c>
      <c r="DH17" s="7">
        <f t="shared" si="29"/>
        <v>0</v>
      </c>
      <c r="DI17" s="7">
        <f t="shared" si="75"/>
        <v>0</v>
      </c>
      <c r="DJ17" s="7">
        <f t="shared" si="30"/>
        <v>0</v>
      </c>
      <c r="DK17" s="7">
        <f t="shared" si="31"/>
        <v>0</v>
      </c>
      <c r="DL17" s="7">
        <f t="shared" si="32"/>
        <v>0</v>
      </c>
      <c r="DM17" s="7">
        <f t="shared" si="76"/>
        <v>0</v>
      </c>
      <c r="DN17" s="7">
        <f t="shared" si="33"/>
        <v>0</v>
      </c>
      <c r="DO17" s="7">
        <f t="shared" si="34"/>
        <v>0</v>
      </c>
      <c r="DP17" s="7">
        <f t="shared" si="35"/>
        <v>0</v>
      </c>
      <c r="DQ17" s="7">
        <f t="shared" si="77"/>
        <v>1</v>
      </c>
      <c r="DR17" s="7">
        <f t="shared" si="36"/>
        <v>0</v>
      </c>
      <c r="DS17" s="7">
        <f t="shared" si="37"/>
        <v>0</v>
      </c>
      <c r="DT17" s="7">
        <f t="shared" si="38"/>
        <v>0</v>
      </c>
      <c r="DU17" s="7">
        <f t="shared" si="78"/>
        <v>0</v>
      </c>
      <c r="DV17" s="7">
        <f t="shared" si="39"/>
        <v>0</v>
      </c>
      <c r="DW17" s="7">
        <f t="shared" si="40"/>
        <v>0</v>
      </c>
      <c r="DX17" s="7">
        <f t="shared" si="41"/>
        <v>0</v>
      </c>
      <c r="DY17" s="7">
        <f t="shared" si="79"/>
        <v>0</v>
      </c>
      <c r="DZ17" s="7">
        <f t="shared" si="42"/>
        <v>0</v>
      </c>
      <c r="EA17" s="7">
        <f t="shared" si="43"/>
        <v>0</v>
      </c>
      <c r="EB17" s="7">
        <f t="shared" si="44"/>
        <v>0</v>
      </c>
      <c r="EC17" s="7">
        <f t="shared" si="80"/>
        <v>0</v>
      </c>
      <c r="ED17" s="7">
        <f t="shared" si="45"/>
        <v>0</v>
      </c>
      <c r="EE17" s="7">
        <f t="shared" si="46"/>
        <v>0</v>
      </c>
      <c r="EF17" s="7">
        <f t="shared" si="47"/>
        <v>0</v>
      </c>
      <c r="EG17" s="7">
        <f t="shared" si="81"/>
        <v>0</v>
      </c>
      <c r="EH17" s="7">
        <f t="shared" si="48"/>
        <v>0</v>
      </c>
      <c r="EI17" s="7">
        <f t="shared" si="49"/>
        <v>0</v>
      </c>
      <c r="EJ17" s="7">
        <f t="shared" si="50"/>
        <v>0</v>
      </c>
      <c r="EK17" s="7">
        <f t="shared" si="82"/>
        <v>1</v>
      </c>
      <c r="EL17" s="7">
        <f t="shared" si="51"/>
        <v>0</v>
      </c>
      <c r="EM17" s="7"/>
      <c r="EN17" s="63">
        <f t="shared" si="83"/>
        <v>1</v>
      </c>
      <c r="EO17" s="63">
        <f t="shared" si="84"/>
        <v>0</v>
      </c>
      <c r="EP17" s="63" t="str">
        <f t="shared" si="86"/>
        <v>1</v>
      </c>
      <c r="EQ17" s="63" t="str">
        <f t="shared" si="85"/>
        <v>0</v>
      </c>
    </row>
    <row r="18" spans="1:147" x14ac:dyDescent="0.25">
      <c r="A18" s="13"/>
      <c r="B18" s="2"/>
      <c r="C18" s="9"/>
      <c r="D18" s="84" t="s">
        <v>8</v>
      </c>
      <c r="E18" s="84" t="s">
        <v>38</v>
      </c>
      <c r="F18" s="84" t="s">
        <v>31</v>
      </c>
      <c r="G18" s="84" t="s">
        <v>1</v>
      </c>
      <c r="H18" s="16"/>
      <c r="I18" s="6"/>
      <c r="J18" s="6"/>
      <c r="K18" s="6"/>
      <c r="L18" s="6"/>
      <c r="M18" s="19">
        <f t="shared" si="52"/>
        <v>0</v>
      </c>
      <c r="N18" s="19">
        <f t="shared" si="0"/>
        <v>0</v>
      </c>
      <c r="O18" s="9"/>
      <c r="P18" s="9" t="s">
        <v>120</v>
      </c>
      <c r="Q18" s="9" t="s">
        <v>212</v>
      </c>
      <c r="R18" s="9"/>
      <c r="U18" s="4">
        <f t="shared" si="53"/>
        <v>0</v>
      </c>
      <c r="AB18" s="5">
        <f t="shared" si="54"/>
        <v>0</v>
      </c>
      <c r="AC18" s="5">
        <f t="shared" si="55"/>
        <v>0</v>
      </c>
      <c r="AD18" s="5">
        <f t="shared" si="1"/>
        <v>0</v>
      </c>
      <c r="AE18" s="43">
        <f t="shared" si="2"/>
        <v>0</v>
      </c>
      <c r="AF18" s="3">
        <f t="shared" si="56"/>
        <v>0</v>
      </c>
      <c r="AG18" s="3">
        <f t="shared" si="57"/>
        <v>0</v>
      </c>
      <c r="AH18" s="3">
        <f t="shared" si="58"/>
        <v>0</v>
      </c>
      <c r="AI18" s="3">
        <f t="shared" si="59"/>
        <v>0</v>
      </c>
      <c r="AJ18" s="3">
        <f t="shared" si="60"/>
        <v>0</v>
      </c>
      <c r="AK18" s="3">
        <f t="shared" si="61"/>
        <v>0</v>
      </c>
      <c r="AL18" s="3">
        <f t="shared" si="62"/>
        <v>0</v>
      </c>
      <c r="AM18" s="3">
        <f t="shared" si="63"/>
        <v>0</v>
      </c>
      <c r="AN18" s="3">
        <f t="shared" si="64"/>
        <v>0</v>
      </c>
      <c r="AO18" s="54">
        <f t="shared" si="65"/>
        <v>0</v>
      </c>
      <c r="AQ18" t="s">
        <v>42</v>
      </c>
      <c r="AU18" s="104">
        <f t="shared" si="66"/>
        <v>0</v>
      </c>
      <c r="AV18" s="104">
        <f t="shared" si="3"/>
        <v>0</v>
      </c>
      <c r="AW18" s="79"/>
      <c r="AY18" s="10">
        <f t="shared" si="4"/>
        <v>0</v>
      </c>
      <c r="AZ18" s="10">
        <f t="shared" si="5"/>
        <v>0</v>
      </c>
      <c r="BA18" s="10">
        <f t="shared" si="6"/>
        <v>0</v>
      </c>
      <c r="BB18" s="10">
        <f t="shared" si="7"/>
        <v>0</v>
      </c>
      <c r="BC18" s="10">
        <f t="shared" si="8"/>
        <v>0</v>
      </c>
      <c r="BD18" s="10">
        <f t="shared" si="8"/>
        <v>0</v>
      </c>
      <c r="BE18" s="10">
        <f t="shared" si="8"/>
        <v>0</v>
      </c>
      <c r="BF18" s="10">
        <f t="shared" si="9"/>
        <v>0</v>
      </c>
      <c r="BG18" s="10">
        <f t="shared" si="10"/>
        <v>0</v>
      </c>
      <c r="BH18" s="10">
        <f t="shared" si="67"/>
        <v>0</v>
      </c>
      <c r="BI18" s="10"/>
      <c r="BJ18" s="10"/>
      <c r="BK18" s="10"/>
      <c r="BL18" s="10"/>
      <c r="BM18" s="10"/>
      <c r="BN18" s="113" t="e">
        <f>AR18/VLOOKUP(AP18,References!$A$3:$C$53,2,FALSE)</f>
        <v>#N/A</v>
      </c>
      <c r="BO18" s="113">
        <f t="shared" si="68"/>
        <v>0</v>
      </c>
      <c r="BP18" s="113">
        <f t="shared" si="11"/>
        <v>0</v>
      </c>
      <c r="BQ18" s="113">
        <f>((R18*(VLOOKUP(Q18,References!$A$57:$D$110,2,FALSE))%)+(S18*(VLOOKUP(Q18,References!$A$57:$D$110,2,FALSE))%)*(CW18+DA18+DM18))</f>
        <v>0</v>
      </c>
      <c r="BR18" s="113">
        <f>((R18*(VLOOKUP(Q18,References!$A$57:$D$110,3,FALSE))%)+(S18*(VLOOKUP(Q18,References!$A$57:$D$110,3,FALSE))%)*(CW18+DA18+DM18))</f>
        <v>0</v>
      </c>
      <c r="BS18" s="113">
        <f>((R18*(VLOOKUP(Q18,References!$A$57:$D$110,4,FALSE))%)+(S18*(VLOOKUP(Q18,References!$A$57:$D$110,4,FALSE))%)*(CW18+DA18+DM18))</f>
        <v>0</v>
      </c>
      <c r="BT18" s="10">
        <f>((((R18+S18)/100)*VLOOKUP(Q18,References!$A$58:$M$110,13,FALSE))*(CW18+DA18+DM18))</f>
        <v>0</v>
      </c>
      <c r="BU18" s="10" t="e">
        <f>(AR18/1000)*VLOOKUP(AP18,References!$A$4:$P$54,11,FALSE)</f>
        <v>#N/A</v>
      </c>
      <c r="BV18" s="10" t="e">
        <f>(AR18/1000)*VLOOKUP(AP18,References!$A$4:$P$54,12,FALSE)</f>
        <v>#N/A</v>
      </c>
      <c r="BW18" s="10" t="e">
        <f>(AR18/1000)*VLOOKUP(AP18,References!$A$4:$P$54,13,FALSE)</f>
        <v>#N/A</v>
      </c>
      <c r="BX18" s="113">
        <f t="shared" si="69"/>
        <v>0</v>
      </c>
      <c r="BY18" s="113">
        <f t="shared" si="12"/>
        <v>0</v>
      </c>
      <c r="BZ18" s="113">
        <f t="shared" si="12"/>
        <v>0</v>
      </c>
      <c r="CA18" s="113">
        <f t="shared" si="13"/>
        <v>0</v>
      </c>
      <c r="CB18" s="113">
        <f t="shared" si="14"/>
        <v>0</v>
      </c>
      <c r="CC18" s="113">
        <f t="shared" si="15"/>
        <v>0</v>
      </c>
      <c r="CD18" s="113">
        <f t="shared" si="16"/>
        <v>0</v>
      </c>
      <c r="CE18" s="113">
        <f t="shared" si="17"/>
        <v>0</v>
      </c>
      <c r="CF18" s="113">
        <f t="shared" si="18"/>
        <v>0</v>
      </c>
      <c r="CG18" s="113"/>
      <c r="CH18" s="113"/>
      <c r="CI18" s="113"/>
      <c r="CJ18" s="113"/>
      <c r="CK18" s="113"/>
      <c r="CL18" s="113"/>
      <c r="CM18" s="113">
        <f t="shared" si="19"/>
        <v>0</v>
      </c>
      <c r="CN18" s="113" t="e">
        <f>R18*VLOOKUP(Q18,References!$A$86:$E$158,2,FALSE)+S18*VLOOKUP(Q18,References!$A$86:$E$158,2,FALSE)</f>
        <v>#N/A</v>
      </c>
      <c r="CO18" s="113" t="e">
        <f>((VLOOKUP(Q18,References!$A$86:$E$158,3,FALSE)-(CN18/C$7))/(VLOOKUP(Q18,References!$A$86:$E$158,3,FALSE)))</f>
        <v>#N/A</v>
      </c>
      <c r="CP18" s="101" t="e">
        <f t="shared" si="70"/>
        <v>#N/A</v>
      </c>
      <c r="CQ18" s="113">
        <f t="shared" si="71"/>
        <v>0</v>
      </c>
      <c r="CR18" s="113">
        <f t="shared" si="20"/>
        <v>0</v>
      </c>
      <c r="CS18" s="113">
        <f t="shared" si="20"/>
        <v>0</v>
      </c>
      <c r="CT18" s="113"/>
      <c r="CU18" s="10"/>
      <c r="CV18" s="10"/>
      <c r="CW18" s="7">
        <f t="shared" si="72"/>
        <v>0</v>
      </c>
      <c r="CX18" s="7">
        <f t="shared" si="21"/>
        <v>0</v>
      </c>
      <c r="CY18" s="7">
        <f t="shared" si="22"/>
        <v>0</v>
      </c>
      <c r="CZ18" s="7">
        <f t="shared" si="23"/>
        <v>0</v>
      </c>
      <c r="DA18" s="7">
        <f t="shared" si="73"/>
        <v>0</v>
      </c>
      <c r="DB18" s="7">
        <f t="shared" si="24"/>
        <v>0</v>
      </c>
      <c r="DC18" s="7">
        <f t="shared" si="25"/>
        <v>0</v>
      </c>
      <c r="DD18" s="7">
        <f t="shared" si="26"/>
        <v>0</v>
      </c>
      <c r="DE18" s="7">
        <f t="shared" si="74"/>
        <v>0</v>
      </c>
      <c r="DF18" s="7">
        <f t="shared" si="27"/>
        <v>0</v>
      </c>
      <c r="DG18" s="7">
        <f t="shared" si="28"/>
        <v>0</v>
      </c>
      <c r="DH18" s="7">
        <f t="shared" si="29"/>
        <v>0</v>
      </c>
      <c r="DI18" s="7">
        <f t="shared" si="75"/>
        <v>0</v>
      </c>
      <c r="DJ18" s="7">
        <f t="shared" si="30"/>
        <v>0</v>
      </c>
      <c r="DK18" s="7">
        <f t="shared" si="31"/>
        <v>0</v>
      </c>
      <c r="DL18" s="7">
        <f t="shared" si="32"/>
        <v>0</v>
      </c>
      <c r="DM18" s="7">
        <f t="shared" si="76"/>
        <v>0</v>
      </c>
      <c r="DN18" s="7">
        <f t="shared" si="33"/>
        <v>0</v>
      </c>
      <c r="DO18" s="7">
        <f t="shared" si="34"/>
        <v>0</v>
      </c>
      <c r="DP18" s="7">
        <f t="shared" si="35"/>
        <v>0</v>
      </c>
      <c r="DQ18" s="7">
        <f t="shared" si="77"/>
        <v>0</v>
      </c>
      <c r="DR18" s="7">
        <f t="shared" si="36"/>
        <v>0</v>
      </c>
      <c r="DS18" s="7">
        <f t="shared" si="37"/>
        <v>0</v>
      </c>
      <c r="DT18" s="7">
        <f t="shared" si="38"/>
        <v>0</v>
      </c>
      <c r="DU18" s="7">
        <f t="shared" si="78"/>
        <v>0</v>
      </c>
      <c r="DV18" s="7">
        <f t="shared" si="39"/>
        <v>0</v>
      </c>
      <c r="DW18" s="7">
        <f t="shared" si="40"/>
        <v>0</v>
      </c>
      <c r="DX18" s="7">
        <f t="shared" si="41"/>
        <v>0</v>
      </c>
      <c r="DY18" s="7">
        <f t="shared" si="79"/>
        <v>1</v>
      </c>
      <c r="DZ18" s="7">
        <f t="shared" si="42"/>
        <v>0</v>
      </c>
      <c r="EA18" s="7">
        <f t="shared" si="43"/>
        <v>0</v>
      </c>
      <c r="EB18" s="7">
        <f t="shared" si="44"/>
        <v>0</v>
      </c>
      <c r="EC18" s="7">
        <f t="shared" si="80"/>
        <v>0</v>
      </c>
      <c r="ED18" s="7">
        <f t="shared" si="45"/>
        <v>0</v>
      </c>
      <c r="EE18" s="7">
        <f t="shared" si="46"/>
        <v>0</v>
      </c>
      <c r="EF18" s="7">
        <f t="shared" si="47"/>
        <v>0</v>
      </c>
      <c r="EG18" s="7">
        <f t="shared" si="81"/>
        <v>0</v>
      </c>
      <c r="EH18" s="7">
        <f t="shared" si="48"/>
        <v>0</v>
      </c>
      <c r="EI18" s="7">
        <f t="shared" si="49"/>
        <v>0</v>
      </c>
      <c r="EJ18" s="7">
        <f t="shared" si="50"/>
        <v>0</v>
      </c>
      <c r="EK18" s="7">
        <f t="shared" si="82"/>
        <v>1</v>
      </c>
      <c r="EL18" s="7">
        <f t="shared" si="51"/>
        <v>0</v>
      </c>
      <c r="EM18" s="7"/>
      <c r="EN18" s="63">
        <f t="shared" si="83"/>
        <v>1</v>
      </c>
      <c r="EO18" s="63">
        <f t="shared" si="84"/>
        <v>0</v>
      </c>
      <c r="EP18" s="63" t="str">
        <f t="shared" si="86"/>
        <v>1</v>
      </c>
      <c r="EQ18" s="63" t="str">
        <f t="shared" si="85"/>
        <v>0</v>
      </c>
    </row>
    <row r="19" spans="1:147" x14ac:dyDescent="0.25">
      <c r="A19" s="13"/>
      <c r="B19" s="2"/>
      <c r="C19" s="9"/>
      <c r="D19" s="84" t="s">
        <v>8</v>
      </c>
      <c r="E19" s="84" t="s">
        <v>13</v>
      </c>
      <c r="F19" s="84" t="s">
        <v>31</v>
      </c>
      <c r="G19" s="84" t="s">
        <v>1</v>
      </c>
      <c r="H19" s="16"/>
      <c r="I19" s="6"/>
      <c r="J19" s="6"/>
      <c r="K19" s="6"/>
      <c r="L19" s="6"/>
      <c r="M19" s="19">
        <f t="shared" si="52"/>
        <v>0</v>
      </c>
      <c r="N19" s="19">
        <f t="shared" si="0"/>
        <v>0</v>
      </c>
      <c r="O19" s="9"/>
      <c r="P19" s="9" t="s">
        <v>120</v>
      </c>
      <c r="Q19" s="9" t="s">
        <v>212</v>
      </c>
      <c r="R19" s="9"/>
      <c r="U19" s="4">
        <f t="shared" si="53"/>
        <v>0</v>
      </c>
      <c r="AB19" s="5">
        <f t="shared" si="54"/>
        <v>0</v>
      </c>
      <c r="AC19" s="5">
        <f t="shared" si="55"/>
        <v>0</v>
      </c>
      <c r="AD19" s="5">
        <f t="shared" si="1"/>
        <v>0</v>
      </c>
      <c r="AE19" s="43">
        <f t="shared" si="2"/>
        <v>0</v>
      </c>
      <c r="AF19" s="3">
        <f t="shared" si="56"/>
        <v>0</v>
      </c>
      <c r="AG19" s="3">
        <f t="shared" si="57"/>
        <v>0</v>
      </c>
      <c r="AH19" s="3">
        <f t="shared" si="58"/>
        <v>0</v>
      </c>
      <c r="AI19" s="3">
        <f t="shared" si="59"/>
        <v>0</v>
      </c>
      <c r="AJ19" s="3">
        <f t="shared" si="60"/>
        <v>0</v>
      </c>
      <c r="AK19" s="3">
        <f t="shared" si="61"/>
        <v>0</v>
      </c>
      <c r="AL19" s="3">
        <f t="shared" si="62"/>
        <v>0</v>
      </c>
      <c r="AM19" s="3">
        <f t="shared" si="63"/>
        <v>0</v>
      </c>
      <c r="AN19" s="3">
        <f t="shared" si="64"/>
        <v>0</v>
      </c>
      <c r="AO19" s="54">
        <f t="shared" si="65"/>
        <v>0</v>
      </c>
      <c r="AQ19" t="s">
        <v>42</v>
      </c>
      <c r="AU19" s="104">
        <f t="shared" si="66"/>
        <v>0</v>
      </c>
      <c r="AV19" s="104">
        <f t="shared" si="3"/>
        <v>0</v>
      </c>
      <c r="AW19" s="79"/>
      <c r="AY19" s="10">
        <f t="shared" si="4"/>
        <v>0</v>
      </c>
      <c r="AZ19" s="10">
        <f t="shared" si="5"/>
        <v>0</v>
      </c>
      <c r="BA19" s="10">
        <f t="shared" si="6"/>
        <v>0</v>
      </c>
      <c r="BB19" s="10">
        <f t="shared" si="7"/>
        <v>0</v>
      </c>
      <c r="BC19" s="10">
        <f t="shared" si="8"/>
        <v>0</v>
      </c>
      <c r="BD19" s="10">
        <f t="shared" si="8"/>
        <v>0</v>
      </c>
      <c r="BE19" s="10">
        <f t="shared" si="8"/>
        <v>0</v>
      </c>
      <c r="BF19" s="10">
        <f t="shared" si="9"/>
        <v>0</v>
      </c>
      <c r="BG19" s="10">
        <f t="shared" si="10"/>
        <v>0</v>
      </c>
      <c r="BH19" s="10">
        <f t="shared" si="67"/>
        <v>0</v>
      </c>
      <c r="BI19" s="10"/>
      <c r="BJ19" s="10"/>
      <c r="BK19" s="10"/>
      <c r="BL19" s="10"/>
      <c r="BM19" s="10"/>
      <c r="BN19" s="113" t="e">
        <f>AR19/VLOOKUP(AP19,References!$A$3:$C$53,2,FALSE)</f>
        <v>#N/A</v>
      </c>
      <c r="BO19" s="113">
        <f t="shared" si="68"/>
        <v>0</v>
      </c>
      <c r="BP19" s="113">
        <f t="shared" si="11"/>
        <v>0</v>
      </c>
      <c r="BQ19" s="113">
        <f>((R19*(VLOOKUP(Q19,References!$A$57:$D$110,2,FALSE))%)+(S19*(VLOOKUP(Q19,References!$A$57:$D$110,2,FALSE))%)*(CW19+DA19+DM19))</f>
        <v>0</v>
      </c>
      <c r="BR19" s="113">
        <f>((R19*(VLOOKUP(Q19,References!$A$57:$D$110,3,FALSE))%)+(S19*(VLOOKUP(Q19,References!$A$57:$D$110,3,FALSE))%)*(CW19+DA19+DM19))</f>
        <v>0</v>
      </c>
      <c r="BS19" s="113">
        <f>((R19*(VLOOKUP(Q19,References!$A$57:$D$110,4,FALSE))%)+(S19*(VLOOKUP(Q19,References!$A$57:$D$110,4,FALSE))%)*(CW19+DA19+DM19))</f>
        <v>0</v>
      </c>
      <c r="BT19" s="10">
        <f>((((R19+S19)/100)*VLOOKUP(Q19,References!$A$58:$M$110,13,FALSE))*(CW19+DA19+DM19))</f>
        <v>0</v>
      </c>
      <c r="BU19" s="10" t="e">
        <f>(AR19/1000)*VLOOKUP(AP19,References!$A$4:$P$54,11,FALSE)</f>
        <v>#N/A</v>
      </c>
      <c r="BV19" s="10" t="e">
        <f>(AR19/1000)*VLOOKUP(AP19,References!$A$4:$P$54,12,FALSE)</f>
        <v>#N/A</v>
      </c>
      <c r="BW19" s="10" t="e">
        <f>(AR19/1000)*VLOOKUP(AP19,References!$A$4:$P$54,13,FALSE)</f>
        <v>#N/A</v>
      </c>
      <c r="BX19" s="113">
        <f t="shared" si="69"/>
        <v>0</v>
      </c>
      <c r="BY19" s="113">
        <f t="shared" si="12"/>
        <v>0</v>
      </c>
      <c r="BZ19" s="113">
        <f t="shared" si="12"/>
        <v>0</v>
      </c>
      <c r="CA19" s="113">
        <f t="shared" si="13"/>
        <v>0</v>
      </c>
      <c r="CB19" s="113">
        <f t="shared" si="14"/>
        <v>0</v>
      </c>
      <c r="CC19" s="113">
        <f t="shared" si="15"/>
        <v>0</v>
      </c>
      <c r="CD19" s="113">
        <f t="shared" si="16"/>
        <v>0</v>
      </c>
      <c r="CE19" s="113">
        <f t="shared" si="17"/>
        <v>0</v>
      </c>
      <c r="CF19" s="113">
        <f t="shared" si="18"/>
        <v>0</v>
      </c>
      <c r="CG19" s="113"/>
      <c r="CH19" s="113"/>
      <c r="CI19" s="113"/>
      <c r="CJ19" s="113"/>
      <c r="CK19" s="113"/>
      <c r="CL19" s="113"/>
      <c r="CM19" s="113">
        <f t="shared" si="19"/>
        <v>0</v>
      </c>
      <c r="CN19" s="113" t="e">
        <f>R19*VLOOKUP(Q19,References!$A$86:$E$158,2,FALSE)+S19*VLOOKUP(Q19,References!$A$86:$E$158,2,FALSE)</f>
        <v>#N/A</v>
      </c>
      <c r="CO19" s="113" t="e">
        <f>((VLOOKUP(Q19,References!$A$86:$E$158,3,FALSE)-(CN19/C$7))/(VLOOKUP(Q19,References!$A$86:$E$158,3,FALSE)))</f>
        <v>#N/A</v>
      </c>
      <c r="CP19" s="101" t="e">
        <f t="shared" si="70"/>
        <v>#N/A</v>
      </c>
      <c r="CQ19" s="113">
        <f t="shared" si="71"/>
        <v>0</v>
      </c>
      <c r="CR19" s="113">
        <f t="shared" si="20"/>
        <v>0</v>
      </c>
      <c r="CS19" s="113">
        <f t="shared" si="20"/>
        <v>0</v>
      </c>
      <c r="CT19" s="113"/>
      <c r="CU19" s="10"/>
      <c r="CV19" s="10"/>
      <c r="CW19" s="7">
        <f t="shared" si="72"/>
        <v>0</v>
      </c>
      <c r="CX19" s="7">
        <f t="shared" si="21"/>
        <v>0</v>
      </c>
      <c r="CY19" s="7">
        <f t="shared" si="22"/>
        <v>0</v>
      </c>
      <c r="CZ19" s="7">
        <f t="shared" si="23"/>
        <v>0</v>
      </c>
      <c r="DA19" s="7">
        <f t="shared" si="73"/>
        <v>0</v>
      </c>
      <c r="DB19" s="7">
        <f t="shared" si="24"/>
        <v>0</v>
      </c>
      <c r="DC19" s="7">
        <f t="shared" si="25"/>
        <v>0</v>
      </c>
      <c r="DD19" s="7">
        <f t="shared" si="26"/>
        <v>0</v>
      </c>
      <c r="DE19" s="7">
        <f t="shared" si="74"/>
        <v>0</v>
      </c>
      <c r="DF19" s="7">
        <f t="shared" si="27"/>
        <v>0</v>
      </c>
      <c r="DG19" s="7">
        <f t="shared" si="28"/>
        <v>0</v>
      </c>
      <c r="DH19" s="7">
        <f t="shared" si="29"/>
        <v>0</v>
      </c>
      <c r="DI19" s="7">
        <f t="shared" si="75"/>
        <v>0</v>
      </c>
      <c r="DJ19" s="7">
        <f t="shared" si="30"/>
        <v>0</v>
      </c>
      <c r="DK19" s="7">
        <f t="shared" si="31"/>
        <v>0</v>
      </c>
      <c r="DL19" s="7">
        <f t="shared" si="32"/>
        <v>0</v>
      </c>
      <c r="DM19" s="7">
        <f t="shared" si="76"/>
        <v>0</v>
      </c>
      <c r="DN19" s="7">
        <f t="shared" si="33"/>
        <v>0</v>
      </c>
      <c r="DO19" s="7">
        <f t="shared" si="34"/>
        <v>0</v>
      </c>
      <c r="DP19" s="7">
        <f t="shared" si="35"/>
        <v>0</v>
      </c>
      <c r="DQ19" s="7">
        <f t="shared" si="77"/>
        <v>0</v>
      </c>
      <c r="DR19" s="7">
        <f t="shared" si="36"/>
        <v>0</v>
      </c>
      <c r="DS19" s="7">
        <f t="shared" si="37"/>
        <v>0</v>
      </c>
      <c r="DT19" s="7">
        <f t="shared" si="38"/>
        <v>0</v>
      </c>
      <c r="DU19" s="7">
        <f t="shared" si="78"/>
        <v>0</v>
      </c>
      <c r="DV19" s="7">
        <f t="shared" si="39"/>
        <v>0</v>
      </c>
      <c r="DW19" s="7">
        <f t="shared" si="40"/>
        <v>0</v>
      </c>
      <c r="DX19" s="7">
        <f t="shared" si="41"/>
        <v>0</v>
      </c>
      <c r="DY19" s="7">
        <f t="shared" si="79"/>
        <v>1</v>
      </c>
      <c r="DZ19" s="7">
        <f t="shared" si="42"/>
        <v>0</v>
      </c>
      <c r="EA19" s="7">
        <f t="shared" si="43"/>
        <v>0</v>
      </c>
      <c r="EB19" s="7">
        <f t="shared" si="44"/>
        <v>0</v>
      </c>
      <c r="EC19" s="7">
        <f t="shared" si="80"/>
        <v>0</v>
      </c>
      <c r="ED19" s="7">
        <f t="shared" si="45"/>
        <v>0</v>
      </c>
      <c r="EE19" s="7">
        <f t="shared" si="46"/>
        <v>0</v>
      </c>
      <c r="EF19" s="7">
        <f t="shared" si="47"/>
        <v>0</v>
      </c>
      <c r="EG19" s="7">
        <f t="shared" si="81"/>
        <v>0</v>
      </c>
      <c r="EH19" s="7">
        <f t="shared" si="48"/>
        <v>0</v>
      </c>
      <c r="EI19" s="7">
        <f t="shared" si="49"/>
        <v>0</v>
      </c>
      <c r="EJ19" s="7">
        <f t="shared" si="50"/>
        <v>0</v>
      </c>
      <c r="EK19" s="7">
        <f t="shared" si="82"/>
        <v>1</v>
      </c>
      <c r="EL19" s="7">
        <f t="shared" si="51"/>
        <v>0</v>
      </c>
      <c r="EM19" s="7"/>
      <c r="EN19" s="63">
        <f t="shared" si="83"/>
        <v>0</v>
      </c>
      <c r="EO19" s="63">
        <f t="shared" si="84"/>
        <v>1</v>
      </c>
      <c r="EP19" s="63" t="str">
        <f t="shared" si="86"/>
        <v>1</v>
      </c>
      <c r="EQ19" s="63" t="str">
        <f t="shared" si="85"/>
        <v>0</v>
      </c>
    </row>
    <row r="20" spans="1:147" x14ac:dyDescent="0.25">
      <c r="A20" s="13"/>
      <c r="B20" s="2"/>
      <c r="C20" s="9"/>
      <c r="D20" s="84" t="s">
        <v>8</v>
      </c>
      <c r="E20" s="84" t="s">
        <v>38</v>
      </c>
      <c r="F20" s="84" t="s">
        <v>31</v>
      </c>
      <c r="G20" s="84" t="s">
        <v>1</v>
      </c>
      <c r="H20" s="16"/>
      <c r="I20" s="6"/>
      <c r="J20" s="6"/>
      <c r="K20" s="6"/>
      <c r="L20" s="6"/>
      <c r="M20" s="19">
        <f t="shared" si="52"/>
        <v>0</v>
      </c>
      <c r="N20" s="19">
        <f t="shared" si="0"/>
        <v>0</v>
      </c>
      <c r="O20" s="9"/>
      <c r="P20" s="9" t="s">
        <v>120</v>
      </c>
      <c r="Q20" s="9" t="s">
        <v>212</v>
      </c>
      <c r="R20" s="9"/>
      <c r="U20" s="4">
        <f t="shared" si="53"/>
        <v>0</v>
      </c>
      <c r="V20" s="8"/>
      <c r="W20" s="8"/>
      <c r="X20" s="8"/>
      <c r="Y20" s="8"/>
      <c r="Z20" s="8"/>
      <c r="AA20" s="8"/>
      <c r="AB20" s="5">
        <f t="shared" si="54"/>
        <v>0</v>
      </c>
      <c r="AC20" s="5">
        <f t="shared" si="55"/>
        <v>0</v>
      </c>
      <c r="AD20" s="5">
        <f t="shared" si="1"/>
        <v>0</v>
      </c>
      <c r="AE20" s="43">
        <f t="shared" si="2"/>
        <v>0</v>
      </c>
      <c r="AF20" s="3">
        <f t="shared" si="56"/>
        <v>0</v>
      </c>
      <c r="AG20" s="3">
        <f t="shared" si="57"/>
        <v>0</v>
      </c>
      <c r="AH20" s="3">
        <f t="shared" si="58"/>
        <v>0</v>
      </c>
      <c r="AI20" s="3">
        <f t="shared" si="59"/>
        <v>0</v>
      </c>
      <c r="AJ20" s="3">
        <f t="shared" si="60"/>
        <v>0</v>
      </c>
      <c r="AK20" s="3">
        <f t="shared" si="61"/>
        <v>0</v>
      </c>
      <c r="AL20" s="3">
        <f t="shared" si="62"/>
        <v>0</v>
      </c>
      <c r="AM20" s="3">
        <f t="shared" si="63"/>
        <v>0</v>
      </c>
      <c r="AN20" s="3">
        <f t="shared" si="64"/>
        <v>0</v>
      </c>
      <c r="AO20" s="54">
        <f t="shared" si="65"/>
        <v>0</v>
      </c>
      <c r="AQ20" t="s">
        <v>42</v>
      </c>
      <c r="AU20" s="104">
        <f t="shared" si="66"/>
        <v>0</v>
      </c>
      <c r="AV20" s="104">
        <f t="shared" si="3"/>
        <v>0</v>
      </c>
      <c r="AW20" s="79"/>
      <c r="AY20" s="10">
        <f t="shared" si="4"/>
        <v>0</v>
      </c>
      <c r="AZ20" s="10">
        <f t="shared" si="5"/>
        <v>0</v>
      </c>
      <c r="BA20" s="10">
        <f t="shared" si="6"/>
        <v>0</v>
      </c>
      <c r="BB20" s="10">
        <f t="shared" si="7"/>
        <v>0</v>
      </c>
      <c r="BC20" s="10">
        <f t="shared" si="8"/>
        <v>0</v>
      </c>
      <c r="BD20" s="10">
        <f t="shared" si="8"/>
        <v>0</v>
      </c>
      <c r="BE20" s="10">
        <f t="shared" si="8"/>
        <v>0</v>
      </c>
      <c r="BF20" s="10">
        <f t="shared" si="9"/>
        <v>0</v>
      </c>
      <c r="BG20" s="10">
        <f t="shared" si="10"/>
        <v>0</v>
      </c>
      <c r="BH20" s="10">
        <f t="shared" si="67"/>
        <v>0</v>
      </c>
      <c r="BI20" s="10"/>
      <c r="BJ20" s="10"/>
      <c r="BK20" s="10"/>
      <c r="BL20" s="10"/>
      <c r="BM20" s="10"/>
      <c r="BN20" s="113" t="e">
        <f>AR20/VLOOKUP(AP20,References!$A$3:$C$53,2,FALSE)</f>
        <v>#N/A</v>
      </c>
      <c r="BO20" s="113">
        <f t="shared" si="68"/>
        <v>0</v>
      </c>
      <c r="BP20" s="113">
        <f t="shared" si="11"/>
        <v>0</v>
      </c>
      <c r="BQ20" s="113">
        <f>((R20*(VLOOKUP(Q20,References!$A$57:$D$110,2,FALSE))%)+(S20*(VLOOKUP(Q20,References!$A$57:$D$110,2,FALSE))%)*(CW20+DA20+DM20))</f>
        <v>0</v>
      </c>
      <c r="BR20" s="113">
        <f>((R20*(VLOOKUP(Q20,References!$A$57:$D$110,3,FALSE))%)+(S20*(VLOOKUP(Q20,References!$A$57:$D$110,3,FALSE))%)*(CW20+DA20+DM20))</f>
        <v>0</v>
      </c>
      <c r="BS20" s="113">
        <f>((R20*(VLOOKUP(Q20,References!$A$57:$D$110,4,FALSE))%)+(S20*(VLOOKUP(Q20,References!$A$57:$D$110,4,FALSE))%)*(CW20+DA20+DM20))</f>
        <v>0</v>
      </c>
      <c r="BT20" s="10">
        <f>((((R20+S20)/100)*VLOOKUP(Q20,References!$A$58:$M$110,13,FALSE))*(CW20+DA20+DM20))</f>
        <v>0</v>
      </c>
      <c r="BU20" s="10" t="e">
        <f>(AR20/1000)*VLOOKUP(AP20,References!$A$4:$P$54,11,FALSE)</f>
        <v>#N/A</v>
      </c>
      <c r="BV20" s="10" t="e">
        <f>(AR20/1000)*VLOOKUP(AP20,References!$A$4:$P$54,12,FALSE)</f>
        <v>#N/A</v>
      </c>
      <c r="BW20" s="10" t="e">
        <f>(AR20/1000)*VLOOKUP(AP20,References!$A$4:$P$54,13,FALSE)</f>
        <v>#N/A</v>
      </c>
      <c r="BX20" s="113">
        <f t="shared" si="69"/>
        <v>0</v>
      </c>
      <c r="BY20" s="113">
        <f t="shared" si="69"/>
        <v>0</v>
      </c>
      <c r="BZ20" s="113">
        <f t="shared" si="69"/>
        <v>0</v>
      </c>
      <c r="CA20" s="113">
        <f t="shared" si="13"/>
        <v>0</v>
      </c>
      <c r="CB20" s="113">
        <f t="shared" si="14"/>
        <v>0</v>
      </c>
      <c r="CC20" s="113">
        <f t="shared" si="15"/>
        <v>0</v>
      </c>
      <c r="CD20" s="113">
        <f t="shared" si="16"/>
        <v>0</v>
      </c>
      <c r="CE20" s="113">
        <f t="shared" si="17"/>
        <v>0</v>
      </c>
      <c r="CF20" s="113">
        <f t="shared" si="18"/>
        <v>0</v>
      </c>
      <c r="CG20" s="113"/>
      <c r="CH20" s="113"/>
      <c r="CI20" s="113"/>
      <c r="CJ20" s="113"/>
      <c r="CK20" s="113"/>
      <c r="CL20" s="113"/>
      <c r="CM20" s="113">
        <f t="shared" si="19"/>
        <v>0</v>
      </c>
      <c r="CN20" s="113" t="e">
        <f>R20*VLOOKUP(Q20,References!$A$86:$E$158,2,FALSE)+S20*VLOOKUP(Q20,References!$A$86:$E$158,2,FALSE)</f>
        <v>#N/A</v>
      </c>
      <c r="CO20" s="113" t="e">
        <f>((VLOOKUP(Q20,References!$A$86:$E$158,3,FALSE)-(CN20/C$7))/(VLOOKUP(Q20,References!$A$86:$E$158,3,FALSE)))</f>
        <v>#N/A</v>
      </c>
      <c r="CP20" s="101" t="e">
        <f t="shared" si="70"/>
        <v>#N/A</v>
      </c>
      <c r="CQ20" s="113">
        <f t="shared" si="71"/>
        <v>0</v>
      </c>
      <c r="CR20" s="113">
        <f t="shared" si="20"/>
        <v>0</v>
      </c>
      <c r="CS20" s="113">
        <f t="shared" si="20"/>
        <v>0</v>
      </c>
      <c r="CT20" s="113"/>
      <c r="CU20" s="10"/>
      <c r="CV20" s="10"/>
      <c r="CW20" s="7">
        <f t="shared" si="72"/>
        <v>0</v>
      </c>
      <c r="CX20" s="7">
        <f t="shared" si="21"/>
        <v>0</v>
      </c>
      <c r="CY20" s="7">
        <f t="shared" si="22"/>
        <v>0</v>
      </c>
      <c r="CZ20" s="7">
        <f t="shared" si="23"/>
        <v>0</v>
      </c>
      <c r="DA20" s="7">
        <f t="shared" si="73"/>
        <v>0</v>
      </c>
      <c r="DB20" s="7">
        <f t="shared" si="24"/>
        <v>0</v>
      </c>
      <c r="DC20" s="7">
        <f t="shared" si="25"/>
        <v>0</v>
      </c>
      <c r="DD20" s="7">
        <f t="shared" si="26"/>
        <v>0</v>
      </c>
      <c r="DE20" s="7">
        <f t="shared" si="74"/>
        <v>0</v>
      </c>
      <c r="DF20" s="7">
        <f t="shared" si="27"/>
        <v>0</v>
      </c>
      <c r="DG20" s="7">
        <f t="shared" si="28"/>
        <v>0</v>
      </c>
      <c r="DH20" s="7">
        <f t="shared" si="29"/>
        <v>0</v>
      </c>
      <c r="DI20" s="7">
        <f t="shared" si="75"/>
        <v>0</v>
      </c>
      <c r="DJ20" s="7">
        <f t="shared" si="30"/>
        <v>0</v>
      </c>
      <c r="DK20" s="7">
        <f t="shared" si="31"/>
        <v>0</v>
      </c>
      <c r="DL20" s="7">
        <f t="shared" si="32"/>
        <v>0</v>
      </c>
      <c r="DM20" s="7">
        <f t="shared" si="76"/>
        <v>0</v>
      </c>
      <c r="DN20" s="7">
        <f t="shared" si="33"/>
        <v>0</v>
      </c>
      <c r="DO20" s="7">
        <f t="shared" si="34"/>
        <v>0</v>
      </c>
      <c r="DP20" s="7">
        <f t="shared" si="35"/>
        <v>0</v>
      </c>
      <c r="DQ20" s="7">
        <f t="shared" si="77"/>
        <v>0</v>
      </c>
      <c r="DR20" s="7">
        <f t="shared" si="36"/>
        <v>0</v>
      </c>
      <c r="DS20" s="7">
        <f t="shared" si="37"/>
        <v>0</v>
      </c>
      <c r="DT20" s="7">
        <f t="shared" si="38"/>
        <v>0</v>
      </c>
      <c r="DU20" s="7">
        <f t="shared" si="78"/>
        <v>0</v>
      </c>
      <c r="DV20" s="7">
        <f t="shared" si="39"/>
        <v>0</v>
      </c>
      <c r="DW20" s="7">
        <f t="shared" si="40"/>
        <v>0</v>
      </c>
      <c r="DX20" s="7">
        <f t="shared" si="41"/>
        <v>0</v>
      </c>
      <c r="DY20" s="7">
        <f t="shared" si="79"/>
        <v>1</v>
      </c>
      <c r="DZ20" s="7">
        <f t="shared" si="42"/>
        <v>0</v>
      </c>
      <c r="EA20" s="7">
        <f t="shared" si="43"/>
        <v>0</v>
      </c>
      <c r="EB20" s="7">
        <f t="shared" si="44"/>
        <v>0</v>
      </c>
      <c r="EC20" s="7">
        <f t="shared" si="80"/>
        <v>0</v>
      </c>
      <c r="ED20" s="7">
        <f t="shared" si="45"/>
        <v>0</v>
      </c>
      <c r="EE20" s="7">
        <f t="shared" si="46"/>
        <v>0</v>
      </c>
      <c r="EF20" s="7">
        <f t="shared" si="47"/>
        <v>0</v>
      </c>
      <c r="EG20" s="7">
        <f t="shared" si="81"/>
        <v>0</v>
      </c>
      <c r="EH20" s="7">
        <f t="shared" si="48"/>
        <v>0</v>
      </c>
      <c r="EI20" s="7">
        <f t="shared" si="49"/>
        <v>0</v>
      </c>
      <c r="EJ20" s="7">
        <f t="shared" si="50"/>
        <v>0</v>
      </c>
      <c r="EK20" s="7">
        <f t="shared" si="82"/>
        <v>1</v>
      </c>
      <c r="EL20" s="7">
        <f t="shared" si="51"/>
        <v>0</v>
      </c>
      <c r="EM20" s="7"/>
      <c r="EN20" s="63">
        <f t="shared" si="83"/>
        <v>1</v>
      </c>
      <c r="EO20" s="63">
        <f t="shared" si="84"/>
        <v>0</v>
      </c>
      <c r="EP20" s="63" t="str">
        <f t="shared" si="86"/>
        <v>1</v>
      </c>
      <c r="EQ20" s="63" t="str">
        <f t="shared" si="85"/>
        <v>0</v>
      </c>
    </row>
    <row r="21" spans="1:147" x14ac:dyDescent="0.25">
      <c r="A21" s="6"/>
      <c r="B21" s="115"/>
      <c r="C21" s="9"/>
      <c r="D21" s="84" t="s">
        <v>8</v>
      </c>
      <c r="E21" s="84" t="s">
        <v>13</v>
      </c>
      <c r="F21" s="84" t="s">
        <v>31</v>
      </c>
      <c r="G21" s="84" t="s">
        <v>1</v>
      </c>
      <c r="H21" s="16"/>
      <c r="I21" s="6"/>
      <c r="J21" s="6"/>
      <c r="K21" s="6"/>
      <c r="L21" s="6"/>
      <c r="M21" s="19">
        <f t="shared" si="52"/>
        <v>0</v>
      </c>
      <c r="N21" s="19">
        <f t="shared" si="0"/>
        <v>0</v>
      </c>
      <c r="O21" s="9"/>
      <c r="P21" s="9" t="s">
        <v>120</v>
      </c>
      <c r="Q21" s="9" t="s">
        <v>212</v>
      </c>
      <c r="R21" s="9"/>
      <c r="S21" s="8"/>
      <c r="T21" s="8"/>
      <c r="U21" s="4">
        <f t="shared" si="53"/>
        <v>0</v>
      </c>
      <c r="V21" s="8"/>
      <c r="W21" s="8"/>
      <c r="X21" s="8"/>
      <c r="Y21" s="8"/>
      <c r="Z21" s="8"/>
      <c r="AA21" s="8"/>
      <c r="AB21" s="5">
        <f t="shared" si="54"/>
        <v>0</v>
      </c>
      <c r="AC21" s="5">
        <f t="shared" si="55"/>
        <v>0</v>
      </c>
      <c r="AD21" s="5">
        <f t="shared" si="1"/>
        <v>0</v>
      </c>
      <c r="AE21" s="43">
        <f t="shared" si="2"/>
        <v>0</v>
      </c>
      <c r="AF21" s="3">
        <f t="shared" si="56"/>
        <v>0</v>
      </c>
      <c r="AG21" s="3">
        <f t="shared" si="57"/>
        <v>0</v>
      </c>
      <c r="AH21" s="3">
        <f t="shared" si="58"/>
        <v>0</v>
      </c>
      <c r="AI21" s="3">
        <f t="shared" si="59"/>
        <v>0</v>
      </c>
      <c r="AJ21" s="3">
        <f t="shared" si="60"/>
        <v>0</v>
      </c>
      <c r="AK21" s="3">
        <f t="shared" si="61"/>
        <v>0</v>
      </c>
      <c r="AL21" s="3">
        <f t="shared" si="62"/>
        <v>0</v>
      </c>
      <c r="AM21" s="3">
        <f t="shared" si="63"/>
        <v>0</v>
      </c>
      <c r="AN21" s="3">
        <f t="shared" si="64"/>
        <v>0</v>
      </c>
      <c r="AO21" s="54">
        <f t="shared" si="65"/>
        <v>0</v>
      </c>
      <c r="AP21" s="8"/>
      <c r="AQ21" s="29" t="s">
        <v>42</v>
      </c>
      <c r="AR21" s="8"/>
      <c r="AS21" s="8"/>
      <c r="AT21" s="8"/>
      <c r="AU21" s="104">
        <f t="shared" si="66"/>
        <v>0</v>
      </c>
      <c r="AV21" s="104">
        <f t="shared" si="3"/>
        <v>0</v>
      </c>
      <c r="AW21" s="79"/>
      <c r="AY21" s="10">
        <f t="shared" si="4"/>
        <v>0</v>
      </c>
      <c r="AZ21" s="10">
        <f t="shared" si="5"/>
        <v>0</v>
      </c>
      <c r="BA21" s="10">
        <f t="shared" si="6"/>
        <v>0</v>
      </c>
      <c r="BB21" s="10">
        <f t="shared" si="7"/>
        <v>0</v>
      </c>
      <c r="BC21" s="10">
        <f t="shared" si="8"/>
        <v>0</v>
      </c>
      <c r="BD21" s="10">
        <f t="shared" si="8"/>
        <v>0</v>
      </c>
      <c r="BE21" s="10">
        <f t="shared" si="8"/>
        <v>0</v>
      </c>
      <c r="BF21" s="10">
        <f t="shared" si="9"/>
        <v>0</v>
      </c>
      <c r="BG21" s="10">
        <f t="shared" si="10"/>
        <v>0</v>
      </c>
      <c r="BH21" s="10">
        <f t="shared" si="67"/>
        <v>0</v>
      </c>
      <c r="BI21" s="10"/>
      <c r="BJ21" s="10"/>
      <c r="BK21" s="10"/>
      <c r="BL21" s="10"/>
      <c r="BM21" s="10"/>
      <c r="BN21" s="113" t="e">
        <f>AR21/VLOOKUP(AP21,References!$A$3:$C$53,2,FALSE)</f>
        <v>#N/A</v>
      </c>
      <c r="BO21" s="113">
        <f t="shared" si="68"/>
        <v>0</v>
      </c>
      <c r="BP21" s="113">
        <f t="shared" si="11"/>
        <v>0</v>
      </c>
      <c r="BQ21" s="113">
        <f>((R21*(VLOOKUP(Q21,References!$A$57:$D$110,2,FALSE))%)+(S21*(VLOOKUP(Q21,References!$A$57:$D$110,2,FALSE))%)*(CW21+DA21+DM21))</f>
        <v>0</v>
      </c>
      <c r="BR21" s="113">
        <f>((R21*(VLOOKUP(Q21,References!$A$57:$D$110,3,FALSE))%)+(S21*(VLOOKUP(Q21,References!$A$57:$D$110,3,FALSE))%)*(CW21+DA21+DM21))</f>
        <v>0</v>
      </c>
      <c r="BS21" s="113">
        <f>((R21*(VLOOKUP(Q21,References!$A$57:$D$110,4,FALSE))%)+(S21*(VLOOKUP(Q21,References!$A$57:$D$110,4,FALSE))%)*(CW21+DA21+DM21))</f>
        <v>0</v>
      </c>
      <c r="BT21" s="10">
        <f>((((R21+S21)/100)*VLOOKUP(Q21,References!$A$58:$M$110,13,FALSE))*(CW21+DA21+DM21))</f>
        <v>0</v>
      </c>
      <c r="BU21" s="10" t="e">
        <f>(AR21/1000)*VLOOKUP(AP21,References!$A$4:$P$54,11,FALSE)</f>
        <v>#N/A</v>
      </c>
      <c r="BV21" s="10" t="e">
        <f>(AR21/1000)*VLOOKUP(AP21,References!$A$4:$P$54,12,FALSE)</f>
        <v>#N/A</v>
      </c>
      <c r="BW21" s="10" t="e">
        <f>(AR21/1000)*VLOOKUP(AP21,References!$A$4:$P$54,13,FALSE)</f>
        <v>#N/A</v>
      </c>
      <c r="BX21" s="113">
        <f t="shared" si="69"/>
        <v>0</v>
      </c>
      <c r="BY21" s="113">
        <f t="shared" si="69"/>
        <v>0</v>
      </c>
      <c r="BZ21" s="113">
        <f t="shared" si="69"/>
        <v>0</v>
      </c>
      <c r="CA21" s="113">
        <f t="shared" si="13"/>
        <v>0</v>
      </c>
      <c r="CB21" s="113">
        <f t="shared" si="14"/>
        <v>0</v>
      </c>
      <c r="CC21" s="113">
        <f t="shared" si="15"/>
        <v>0</v>
      </c>
      <c r="CD21" s="113">
        <f t="shared" si="16"/>
        <v>0</v>
      </c>
      <c r="CE21" s="113">
        <f t="shared" si="17"/>
        <v>0</v>
      </c>
      <c r="CF21" s="113">
        <f t="shared" si="18"/>
        <v>0</v>
      </c>
      <c r="CG21" s="113"/>
      <c r="CH21" s="113"/>
      <c r="CI21" s="113"/>
      <c r="CJ21" s="113"/>
      <c r="CK21" s="113"/>
      <c r="CL21" s="113"/>
      <c r="CM21" s="113">
        <f t="shared" si="19"/>
        <v>0</v>
      </c>
      <c r="CN21" s="113" t="e">
        <f>R21*VLOOKUP(Q21,References!$A$86:$E$158,2,FALSE)+S21*VLOOKUP(Q21,References!$A$86:$E$158,2,FALSE)</f>
        <v>#N/A</v>
      </c>
      <c r="CO21" s="113" t="e">
        <f>((VLOOKUP(Q21,References!$A$86:$E$158,3,FALSE)-(CN21/C$7))/(VLOOKUP(Q21,References!$A$86:$E$158,3,FALSE)))</f>
        <v>#N/A</v>
      </c>
      <c r="CP21" s="101" t="e">
        <f t="shared" si="70"/>
        <v>#N/A</v>
      </c>
      <c r="CQ21" s="113">
        <f t="shared" si="71"/>
        <v>0</v>
      </c>
      <c r="CR21" s="113">
        <f t="shared" si="20"/>
        <v>0</v>
      </c>
      <c r="CS21" s="113">
        <f t="shared" si="20"/>
        <v>0</v>
      </c>
      <c r="CT21" s="113"/>
      <c r="CU21" s="10"/>
      <c r="CV21" s="10"/>
      <c r="CW21" s="7">
        <f t="shared" si="72"/>
        <v>0</v>
      </c>
      <c r="CX21" s="7">
        <f t="shared" si="21"/>
        <v>0</v>
      </c>
      <c r="CY21" s="7">
        <f t="shared" si="22"/>
        <v>0</v>
      </c>
      <c r="CZ21" s="7">
        <f t="shared" si="23"/>
        <v>0</v>
      </c>
      <c r="DA21" s="7">
        <f t="shared" si="73"/>
        <v>0</v>
      </c>
      <c r="DB21" s="7">
        <f t="shared" si="24"/>
        <v>0</v>
      </c>
      <c r="DC21" s="7">
        <f t="shared" si="25"/>
        <v>0</v>
      </c>
      <c r="DD21" s="7">
        <f t="shared" si="26"/>
        <v>0</v>
      </c>
      <c r="DE21" s="7">
        <f t="shared" si="74"/>
        <v>0</v>
      </c>
      <c r="DF21" s="7">
        <f t="shared" si="27"/>
        <v>0</v>
      </c>
      <c r="DG21" s="7">
        <f t="shared" si="28"/>
        <v>0</v>
      </c>
      <c r="DH21" s="7">
        <f t="shared" si="29"/>
        <v>0</v>
      </c>
      <c r="DI21" s="7">
        <f t="shared" si="75"/>
        <v>0</v>
      </c>
      <c r="DJ21" s="7">
        <f t="shared" si="30"/>
        <v>0</v>
      </c>
      <c r="DK21" s="7">
        <f t="shared" si="31"/>
        <v>0</v>
      </c>
      <c r="DL21" s="7">
        <f t="shared" si="32"/>
        <v>0</v>
      </c>
      <c r="DM21" s="7">
        <f t="shared" si="76"/>
        <v>0</v>
      </c>
      <c r="DN21" s="7">
        <f t="shared" si="33"/>
        <v>0</v>
      </c>
      <c r="DO21" s="7">
        <f t="shared" si="34"/>
        <v>0</v>
      </c>
      <c r="DP21" s="7">
        <f t="shared" si="35"/>
        <v>0</v>
      </c>
      <c r="DQ21" s="7">
        <f t="shared" si="77"/>
        <v>0</v>
      </c>
      <c r="DR21" s="7">
        <f t="shared" si="36"/>
        <v>0</v>
      </c>
      <c r="DS21" s="7">
        <f t="shared" si="37"/>
        <v>0</v>
      </c>
      <c r="DT21" s="7">
        <f t="shared" si="38"/>
        <v>0</v>
      </c>
      <c r="DU21" s="7">
        <f t="shared" si="78"/>
        <v>0</v>
      </c>
      <c r="DV21" s="7">
        <f t="shared" si="39"/>
        <v>0</v>
      </c>
      <c r="DW21" s="7">
        <f t="shared" si="40"/>
        <v>0</v>
      </c>
      <c r="DX21" s="7">
        <f t="shared" si="41"/>
        <v>0</v>
      </c>
      <c r="DY21" s="7">
        <f t="shared" si="79"/>
        <v>1</v>
      </c>
      <c r="DZ21" s="7">
        <f t="shared" si="42"/>
        <v>0</v>
      </c>
      <c r="EA21" s="7">
        <f t="shared" si="43"/>
        <v>0</v>
      </c>
      <c r="EB21" s="7">
        <f t="shared" si="44"/>
        <v>0</v>
      </c>
      <c r="EC21" s="7">
        <f t="shared" si="80"/>
        <v>0</v>
      </c>
      <c r="ED21" s="7">
        <f t="shared" si="45"/>
        <v>0</v>
      </c>
      <c r="EE21" s="7">
        <f t="shared" si="46"/>
        <v>0</v>
      </c>
      <c r="EF21" s="7">
        <f t="shared" si="47"/>
        <v>0</v>
      </c>
      <c r="EG21" s="7">
        <f t="shared" si="81"/>
        <v>0</v>
      </c>
      <c r="EH21" s="7">
        <f t="shared" si="48"/>
        <v>0</v>
      </c>
      <c r="EI21" s="7">
        <f t="shared" si="49"/>
        <v>0</v>
      </c>
      <c r="EJ21" s="7">
        <f t="shared" si="50"/>
        <v>0</v>
      </c>
      <c r="EK21" s="7">
        <f t="shared" si="82"/>
        <v>1</v>
      </c>
      <c r="EL21" s="7">
        <f t="shared" si="51"/>
        <v>0</v>
      </c>
      <c r="EM21" s="7"/>
      <c r="EN21" s="63">
        <f t="shared" si="83"/>
        <v>0</v>
      </c>
      <c r="EO21" s="63">
        <f t="shared" si="84"/>
        <v>1</v>
      </c>
      <c r="EP21" s="63" t="str">
        <f t="shared" si="86"/>
        <v>1</v>
      </c>
      <c r="EQ21" s="63" t="str">
        <f t="shared" si="85"/>
        <v>0</v>
      </c>
    </row>
    <row r="22" spans="1:147" s="60" customFormat="1" x14ac:dyDescent="0.25">
      <c r="A22" s="6"/>
      <c r="B22" s="115"/>
      <c r="C22" s="9"/>
      <c r="D22" s="84" t="s">
        <v>9</v>
      </c>
      <c r="E22" s="84" t="s">
        <v>38</v>
      </c>
      <c r="F22" s="84" t="s">
        <v>32</v>
      </c>
      <c r="G22" s="84" t="s">
        <v>1</v>
      </c>
      <c r="H22" s="16"/>
      <c r="I22" s="6"/>
      <c r="J22" s="6"/>
      <c r="K22" s="6"/>
      <c r="L22" s="6"/>
      <c r="M22" s="19">
        <f t="shared" si="52"/>
        <v>0</v>
      </c>
      <c r="N22" s="19">
        <f t="shared" si="0"/>
        <v>0</v>
      </c>
      <c r="O22" s="9"/>
      <c r="P22" s="9" t="s">
        <v>120</v>
      </c>
      <c r="Q22" s="9" t="s">
        <v>212</v>
      </c>
      <c r="R22" s="9"/>
      <c r="S22" s="8"/>
      <c r="T22" s="8"/>
      <c r="U22" s="4">
        <f t="shared" si="53"/>
        <v>0</v>
      </c>
      <c r="V22" s="8"/>
      <c r="W22" s="8"/>
      <c r="X22" s="8"/>
      <c r="Y22" s="8"/>
      <c r="Z22" s="8"/>
      <c r="AA22" s="8"/>
      <c r="AB22" s="5">
        <f t="shared" si="54"/>
        <v>0</v>
      </c>
      <c r="AC22" s="5">
        <f t="shared" si="55"/>
        <v>0</v>
      </c>
      <c r="AD22" s="5">
        <f t="shared" si="1"/>
        <v>0</v>
      </c>
      <c r="AE22" s="43">
        <f t="shared" si="2"/>
        <v>0</v>
      </c>
      <c r="AF22" s="3">
        <f t="shared" si="56"/>
        <v>0</v>
      </c>
      <c r="AG22" s="3">
        <f t="shared" si="57"/>
        <v>0</v>
      </c>
      <c r="AH22" s="3">
        <f t="shared" si="58"/>
        <v>0</v>
      </c>
      <c r="AI22" s="3">
        <f t="shared" si="59"/>
        <v>0</v>
      </c>
      <c r="AJ22" s="3">
        <f t="shared" si="60"/>
        <v>0</v>
      </c>
      <c r="AK22" s="3">
        <f t="shared" si="61"/>
        <v>0</v>
      </c>
      <c r="AL22" s="3">
        <f t="shared" si="62"/>
        <v>0</v>
      </c>
      <c r="AM22" s="3">
        <f t="shared" si="63"/>
        <v>0</v>
      </c>
      <c r="AN22" s="3">
        <f t="shared" si="64"/>
        <v>0</v>
      </c>
      <c r="AO22" s="54">
        <f t="shared" si="65"/>
        <v>0</v>
      </c>
      <c r="AP22" s="8"/>
      <c r="AQ22" s="29" t="s">
        <v>42</v>
      </c>
      <c r="AR22" s="8"/>
      <c r="AS22" s="8"/>
      <c r="AT22" s="8"/>
      <c r="AU22" s="104">
        <f t="shared" si="66"/>
        <v>0</v>
      </c>
      <c r="AV22" s="104">
        <f t="shared" si="3"/>
        <v>0</v>
      </c>
      <c r="AW22" s="79"/>
      <c r="AX22" s="8"/>
      <c r="AY22" s="10">
        <f t="shared" si="4"/>
        <v>0</v>
      </c>
      <c r="AZ22" s="10">
        <f t="shared" si="5"/>
        <v>0</v>
      </c>
      <c r="BA22" s="10">
        <f t="shared" si="6"/>
        <v>0</v>
      </c>
      <c r="BB22" s="10">
        <f t="shared" si="7"/>
        <v>0</v>
      </c>
      <c r="BC22" s="10">
        <f t="shared" si="8"/>
        <v>0</v>
      </c>
      <c r="BD22" s="10">
        <f t="shared" si="8"/>
        <v>0</v>
      </c>
      <c r="BE22" s="10">
        <f t="shared" si="8"/>
        <v>0</v>
      </c>
      <c r="BF22" s="10">
        <f t="shared" si="9"/>
        <v>0</v>
      </c>
      <c r="BG22" s="10">
        <f t="shared" si="10"/>
        <v>0</v>
      </c>
      <c r="BH22" s="10">
        <f t="shared" si="67"/>
        <v>0</v>
      </c>
      <c r="BI22" s="10"/>
      <c r="BJ22" s="10"/>
      <c r="BK22" s="10"/>
      <c r="BL22" s="10"/>
      <c r="BM22" s="10"/>
      <c r="BN22" s="113" t="e">
        <f>AR22/VLOOKUP(AP22,References!$A$3:$C$53,2,FALSE)</f>
        <v>#N/A</v>
      </c>
      <c r="BO22" s="113">
        <f t="shared" si="68"/>
        <v>0</v>
      </c>
      <c r="BP22" s="113">
        <f t="shared" si="11"/>
        <v>0</v>
      </c>
      <c r="BQ22" s="113">
        <f>((R22*(VLOOKUP(Q22,References!$A$57:$D$110,2,FALSE))%)+(S22*(VLOOKUP(Q22,References!$A$57:$D$110,2,FALSE))%)*(CW22+DA22+DM22))</f>
        <v>0</v>
      </c>
      <c r="BR22" s="113">
        <f>((R22*(VLOOKUP(Q22,References!$A$57:$D$110,3,FALSE))%)+(S22*(VLOOKUP(Q22,References!$A$57:$D$110,3,FALSE))%)*(CW22+DA22+DM22))</f>
        <v>0</v>
      </c>
      <c r="BS22" s="113">
        <f>((R22*(VLOOKUP(Q22,References!$A$57:$D$110,4,FALSE))%)+(S22*(VLOOKUP(Q22,References!$A$57:$D$110,4,FALSE))%)*(CW22+DA22+DM22))</f>
        <v>0</v>
      </c>
      <c r="BT22" s="10">
        <f>((((R22+S22)/100)*VLOOKUP(Q22,References!$A$58:$M$110,13,FALSE))*(CW22+DA22+DM22))</f>
        <v>0</v>
      </c>
      <c r="BU22" s="10" t="e">
        <f>(AR22/1000)*VLOOKUP(AP22,References!$A$4:$P$54,11,FALSE)</f>
        <v>#N/A</v>
      </c>
      <c r="BV22" s="10" t="e">
        <f>(AR22/1000)*VLOOKUP(AP22,References!$A$4:$P$54,12,FALSE)</f>
        <v>#N/A</v>
      </c>
      <c r="BW22" s="10" t="e">
        <f>(AR22/1000)*VLOOKUP(AP22,References!$A$4:$P$54,13,FALSE)</f>
        <v>#N/A</v>
      </c>
      <c r="BX22" s="113">
        <f t="shared" si="69"/>
        <v>0</v>
      </c>
      <c r="BY22" s="113">
        <f t="shared" si="69"/>
        <v>0</v>
      </c>
      <c r="BZ22" s="113">
        <f t="shared" si="69"/>
        <v>0</v>
      </c>
      <c r="CA22" s="113">
        <f t="shared" si="13"/>
        <v>0</v>
      </c>
      <c r="CB22" s="113">
        <f t="shared" si="14"/>
        <v>0</v>
      </c>
      <c r="CC22" s="113">
        <f t="shared" si="15"/>
        <v>0</v>
      </c>
      <c r="CD22" s="113">
        <f t="shared" si="16"/>
        <v>0</v>
      </c>
      <c r="CE22" s="113">
        <f t="shared" si="17"/>
        <v>0</v>
      </c>
      <c r="CF22" s="113">
        <f t="shared" si="18"/>
        <v>0</v>
      </c>
      <c r="CG22" s="113"/>
      <c r="CH22" s="113"/>
      <c r="CI22" s="113"/>
      <c r="CJ22" s="113"/>
      <c r="CK22" s="113"/>
      <c r="CL22" s="113"/>
      <c r="CM22" s="113">
        <f t="shared" si="19"/>
        <v>0</v>
      </c>
      <c r="CN22" s="113" t="e">
        <f>R22*VLOOKUP(Q22,References!$A$86:$E$158,2,FALSE)+S22*VLOOKUP(Q22,References!$A$86:$E$158,2,FALSE)</f>
        <v>#N/A</v>
      </c>
      <c r="CO22" s="113" t="e">
        <f>((VLOOKUP(Q22,References!$A$86:$E$158,3,FALSE)-(CN22/C$7))/(VLOOKUP(Q22,References!$A$86:$E$158,3,FALSE)))</f>
        <v>#N/A</v>
      </c>
      <c r="CP22" s="101" t="e">
        <f t="shared" si="70"/>
        <v>#N/A</v>
      </c>
      <c r="CQ22" s="113">
        <f t="shared" si="71"/>
        <v>0</v>
      </c>
      <c r="CR22" s="113">
        <f t="shared" si="20"/>
        <v>0</v>
      </c>
      <c r="CS22" s="113">
        <f t="shared" si="20"/>
        <v>0</v>
      </c>
      <c r="CT22" s="113"/>
      <c r="CU22" s="10"/>
      <c r="CV22" s="10"/>
      <c r="CW22" s="52">
        <f t="shared" si="72"/>
        <v>0</v>
      </c>
      <c r="CX22" s="52">
        <f t="shared" si="21"/>
        <v>0</v>
      </c>
      <c r="CY22" s="52">
        <f t="shared" si="22"/>
        <v>0</v>
      </c>
      <c r="CZ22" s="52">
        <f t="shared" si="23"/>
        <v>0</v>
      </c>
      <c r="DA22" s="52">
        <f t="shared" si="73"/>
        <v>0</v>
      </c>
      <c r="DB22" s="52">
        <f t="shared" si="24"/>
        <v>0</v>
      </c>
      <c r="DC22" s="52">
        <f t="shared" si="25"/>
        <v>0</v>
      </c>
      <c r="DD22" s="52">
        <f t="shared" si="26"/>
        <v>0</v>
      </c>
      <c r="DE22" s="52">
        <f t="shared" si="74"/>
        <v>0</v>
      </c>
      <c r="DF22" s="52">
        <f t="shared" si="27"/>
        <v>0</v>
      </c>
      <c r="DG22" s="52">
        <f t="shared" si="28"/>
        <v>0</v>
      </c>
      <c r="DH22" s="52">
        <f t="shared" si="29"/>
        <v>0</v>
      </c>
      <c r="DI22" s="52">
        <f t="shared" si="75"/>
        <v>0</v>
      </c>
      <c r="DJ22" s="52">
        <f t="shared" si="30"/>
        <v>0</v>
      </c>
      <c r="DK22" s="52">
        <f t="shared" si="31"/>
        <v>0</v>
      </c>
      <c r="DL22" s="52">
        <f t="shared" si="32"/>
        <v>0</v>
      </c>
      <c r="DM22" s="52">
        <f t="shared" si="76"/>
        <v>0</v>
      </c>
      <c r="DN22" s="52">
        <f t="shared" si="33"/>
        <v>0</v>
      </c>
      <c r="DO22" s="52">
        <f t="shared" si="34"/>
        <v>0</v>
      </c>
      <c r="DP22" s="52">
        <f t="shared" si="35"/>
        <v>0</v>
      </c>
      <c r="DQ22" s="52">
        <f t="shared" si="77"/>
        <v>0</v>
      </c>
      <c r="DR22" s="52">
        <f t="shared" si="36"/>
        <v>0</v>
      </c>
      <c r="DS22" s="52">
        <f t="shared" si="37"/>
        <v>0</v>
      </c>
      <c r="DT22" s="52">
        <f t="shared" si="38"/>
        <v>0</v>
      </c>
      <c r="DU22" s="52">
        <f t="shared" si="78"/>
        <v>0</v>
      </c>
      <c r="DV22" s="52">
        <f t="shared" si="39"/>
        <v>0</v>
      </c>
      <c r="DW22" s="52">
        <f t="shared" si="40"/>
        <v>0</v>
      </c>
      <c r="DX22" s="52">
        <f t="shared" si="41"/>
        <v>0</v>
      </c>
      <c r="DY22" s="52">
        <f t="shared" si="79"/>
        <v>0</v>
      </c>
      <c r="DZ22" s="52">
        <f t="shared" si="42"/>
        <v>0</v>
      </c>
      <c r="EA22" s="52">
        <f t="shared" si="43"/>
        <v>0</v>
      </c>
      <c r="EB22" s="52">
        <f t="shared" si="44"/>
        <v>0</v>
      </c>
      <c r="EC22" s="52">
        <f t="shared" si="80"/>
        <v>1</v>
      </c>
      <c r="ED22" s="52">
        <f t="shared" si="45"/>
        <v>0</v>
      </c>
      <c r="EE22" s="52">
        <f t="shared" si="46"/>
        <v>0</v>
      </c>
      <c r="EF22" s="52">
        <f t="shared" si="47"/>
        <v>0</v>
      </c>
      <c r="EG22" s="52">
        <f t="shared" si="81"/>
        <v>0</v>
      </c>
      <c r="EH22" s="52">
        <f t="shared" si="48"/>
        <v>0</v>
      </c>
      <c r="EI22" s="52">
        <f t="shared" si="49"/>
        <v>0</v>
      </c>
      <c r="EJ22" s="52">
        <f t="shared" si="50"/>
        <v>0</v>
      </c>
      <c r="EK22" s="52">
        <f t="shared" si="82"/>
        <v>1</v>
      </c>
      <c r="EL22" s="52">
        <f t="shared" si="51"/>
        <v>0</v>
      </c>
      <c r="EM22" s="52"/>
      <c r="EN22" s="64">
        <f t="shared" si="83"/>
        <v>1</v>
      </c>
      <c r="EO22" s="64">
        <f t="shared" si="84"/>
        <v>0</v>
      </c>
      <c r="EP22" s="64" t="str">
        <f t="shared" si="86"/>
        <v>1</v>
      </c>
      <c r="EQ22" s="64" t="str">
        <f t="shared" si="85"/>
        <v>0</v>
      </c>
    </row>
    <row r="23" spans="1:147" s="60" customFormat="1" x14ac:dyDescent="0.25">
      <c r="A23" s="6"/>
      <c r="B23" s="115"/>
      <c r="C23" s="9"/>
      <c r="D23" s="84" t="s">
        <v>8</v>
      </c>
      <c r="E23" s="84" t="s">
        <v>38</v>
      </c>
      <c r="F23" s="84" t="s">
        <v>31</v>
      </c>
      <c r="G23" s="84" t="s">
        <v>1</v>
      </c>
      <c r="H23" s="16"/>
      <c r="I23" s="6"/>
      <c r="J23" s="6"/>
      <c r="K23" s="6"/>
      <c r="L23" s="6"/>
      <c r="M23" s="19">
        <f t="shared" si="52"/>
        <v>0</v>
      </c>
      <c r="N23" s="19">
        <f t="shared" si="0"/>
        <v>0</v>
      </c>
      <c r="O23" s="9"/>
      <c r="P23" s="9" t="s">
        <v>120</v>
      </c>
      <c r="Q23" s="9" t="s">
        <v>212</v>
      </c>
      <c r="R23" s="9"/>
      <c r="S23" s="8"/>
      <c r="T23" s="8"/>
      <c r="U23" s="4">
        <f t="shared" si="53"/>
        <v>0</v>
      </c>
      <c r="V23" s="8"/>
      <c r="W23" s="8"/>
      <c r="X23" s="8"/>
      <c r="Y23" s="8"/>
      <c r="Z23" s="8"/>
      <c r="AA23" s="8"/>
      <c r="AB23" s="5">
        <f t="shared" si="54"/>
        <v>0</v>
      </c>
      <c r="AC23" s="5">
        <f t="shared" si="55"/>
        <v>0</v>
      </c>
      <c r="AD23" s="5">
        <f t="shared" si="1"/>
        <v>0</v>
      </c>
      <c r="AE23" s="43">
        <f t="shared" si="2"/>
        <v>0</v>
      </c>
      <c r="AF23" s="3">
        <f t="shared" si="56"/>
        <v>0</v>
      </c>
      <c r="AG23" s="3">
        <f t="shared" si="57"/>
        <v>0</v>
      </c>
      <c r="AH23" s="3">
        <f t="shared" si="58"/>
        <v>0</v>
      </c>
      <c r="AI23" s="3">
        <f t="shared" si="59"/>
        <v>0</v>
      </c>
      <c r="AJ23" s="3">
        <f t="shared" si="60"/>
        <v>0</v>
      </c>
      <c r="AK23" s="3">
        <f t="shared" si="61"/>
        <v>0</v>
      </c>
      <c r="AL23" s="3">
        <f t="shared" si="62"/>
        <v>0</v>
      </c>
      <c r="AM23" s="3">
        <f t="shared" si="63"/>
        <v>0</v>
      </c>
      <c r="AN23" s="3">
        <f t="shared" si="64"/>
        <v>0</v>
      </c>
      <c r="AO23" s="54">
        <f t="shared" si="65"/>
        <v>0</v>
      </c>
      <c r="AP23" s="8"/>
      <c r="AQ23" s="29" t="s">
        <v>42</v>
      </c>
      <c r="AR23" s="8"/>
      <c r="AS23" s="8"/>
      <c r="AT23" s="8"/>
      <c r="AU23" s="104">
        <f t="shared" si="66"/>
        <v>0</v>
      </c>
      <c r="AV23" s="104">
        <f t="shared" si="3"/>
        <v>0</v>
      </c>
      <c r="AW23" s="79"/>
      <c r="AX23" s="8"/>
      <c r="AY23" s="10">
        <f t="shared" si="4"/>
        <v>0</v>
      </c>
      <c r="AZ23" s="10">
        <f t="shared" si="5"/>
        <v>0</v>
      </c>
      <c r="BA23" s="10">
        <f t="shared" si="6"/>
        <v>0</v>
      </c>
      <c r="BB23" s="10">
        <f t="shared" si="7"/>
        <v>0</v>
      </c>
      <c r="BC23" s="10">
        <f t="shared" si="8"/>
        <v>0</v>
      </c>
      <c r="BD23" s="10">
        <f t="shared" si="8"/>
        <v>0</v>
      </c>
      <c r="BE23" s="10">
        <f t="shared" si="8"/>
        <v>0</v>
      </c>
      <c r="BF23" s="10">
        <f t="shared" si="9"/>
        <v>0</v>
      </c>
      <c r="BG23" s="10">
        <f t="shared" si="10"/>
        <v>0</v>
      </c>
      <c r="BH23" s="10">
        <f t="shared" si="67"/>
        <v>0</v>
      </c>
      <c r="BI23" s="10"/>
      <c r="BJ23" s="10"/>
      <c r="BK23" s="10"/>
      <c r="BL23" s="10"/>
      <c r="BM23" s="10"/>
      <c r="BN23" s="113" t="e">
        <f>AR23/VLOOKUP(AP23,References!$A$3:$C$53,2,FALSE)</f>
        <v>#N/A</v>
      </c>
      <c r="BO23" s="113">
        <f t="shared" si="68"/>
        <v>0</v>
      </c>
      <c r="BP23" s="113">
        <f t="shared" si="11"/>
        <v>0</v>
      </c>
      <c r="BQ23" s="113">
        <f>((R23*(VLOOKUP(Q23,References!$A$57:$D$110,2,FALSE))%)+(S23*(VLOOKUP(Q23,References!$A$57:$D$110,2,FALSE))%)*(CW23+DA23+DM23))</f>
        <v>0</v>
      </c>
      <c r="BR23" s="113">
        <f>((R23*(VLOOKUP(Q23,References!$A$57:$D$110,3,FALSE))%)+(S23*(VLOOKUP(Q23,References!$A$57:$D$110,3,FALSE))%)*(CW23+DA23+DM23))</f>
        <v>0</v>
      </c>
      <c r="BS23" s="113">
        <f>((R23*(VLOOKUP(Q23,References!$A$57:$D$110,4,FALSE))%)+(S23*(VLOOKUP(Q23,References!$A$57:$D$110,4,FALSE))%)*(CW23+DA23+DM23))</f>
        <v>0</v>
      </c>
      <c r="BT23" s="10">
        <f>((((R23+S23)/100)*VLOOKUP(Q23,References!$A$58:$M$110,13,FALSE))*(CW23+DA23+DM23))</f>
        <v>0</v>
      </c>
      <c r="BU23" s="10" t="e">
        <f>(AR23/1000)*VLOOKUP(AP23,References!$A$4:$P$54,11,FALSE)</f>
        <v>#N/A</v>
      </c>
      <c r="BV23" s="10" t="e">
        <f>(AR23/1000)*VLOOKUP(AP23,References!$A$4:$P$54,12,FALSE)</f>
        <v>#N/A</v>
      </c>
      <c r="BW23" s="10" t="e">
        <f>(AR23/1000)*VLOOKUP(AP23,References!$A$4:$P$54,13,FALSE)</f>
        <v>#N/A</v>
      </c>
      <c r="BX23" s="113">
        <f t="shared" si="69"/>
        <v>0</v>
      </c>
      <c r="BY23" s="113">
        <f t="shared" si="69"/>
        <v>0</v>
      </c>
      <c r="BZ23" s="113">
        <f t="shared" si="69"/>
        <v>0</v>
      </c>
      <c r="CA23" s="113">
        <f t="shared" si="13"/>
        <v>0</v>
      </c>
      <c r="CB23" s="113">
        <f t="shared" si="14"/>
        <v>0</v>
      </c>
      <c r="CC23" s="113">
        <f t="shared" si="15"/>
        <v>0</v>
      </c>
      <c r="CD23" s="113">
        <f t="shared" si="16"/>
        <v>0</v>
      </c>
      <c r="CE23" s="113">
        <f t="shared" si="17"/>
        <v>0</v>
      </c>
      <c r="CF23" s="113">
        <f t="shared" si="18"/>
        <v>0</v>
      </c>
      <c r="CG23" s="113"/>
      <c r="CH23" s="113"/>
      <c r="CI23" s="113"/>
      <c r="CJ23" s="113"/>
      <c r="CK23" s="113"/>
      <c r="CL23" s="113"/>
      <c r="CM23" s="113">
        <f t="shared" si="19"/>
        <v>0</v>
      </c>
      <c r="CN23" s="113" t="e">
        <f>R23*VLOOKUP(Q23,References!$A$86:$E$158,2,FALSE)+S23*VLOOKUP(Q23,References!$A$86:$E$158,2,FALSE)</f>
        <v>#N/A</v>
      </c>
      <c r="CO23" s="113" t="e">
        <f>((VLOOKUP(Q23,References!$A$86:$E$158,3,FALSE)-(CN23/C$7))/(VLOOKUP(Q23,References!$A$86:$E$158,3,FALSE)))</f>
        <v>#N/A</v>
      </c>
      <c r="CP23" s="101" t="e">
        <f t="shared" si="70"/>
        <v>#N/A</v>
      </c>
      <c r="CQ23" s="113">
        <f t="shared" si="71"/>
        <v>0</v>
      </c>
      <c r="CR23" s="113">
        <f t="shared" si="20"/>
        <v>0</v>
      </c>
      <c r="CS23" s="113">
        <f t="shared" si="20"/>
        <v>0</v>
      </c>
      <c r="CT23" s="113"/>
      <c r="CU23" s="10"/>
      <c r="CV23" s="10"/>
      <c r="CW23" s="52">
        <f t="shared" si="72"/>
        <v>0</v>
      </c>
      <c r="CX23" s="52">
        <f t="shared" si="21"/>
        <v>0</v>
      </c>
      <c r="CY23" s="52">
        <f t="shared" si="22"/>
        <v>0</v>
      </c>
      <c r="CZ23" s="52">
        <f t="shared" si="23"/>
        <v>0</v>
      </c>
      <c r="DA23" s="52">
        <f t="shared" si="73"/>
        <v>0</v>
      </c>
      <c r="DB23" s="52">
        <f t="shared" si="24"/>
        <v>0</v>
      </c>
      <c r="DC23" s="52">
        <f t="shared" si="25"/>
        <v>0</v>
      </c>
      <c r="DD23" s="52">
        <f t="shared" si="26"/>
        <v>0</v>
      </c>
      <c r="DE23" s="52">
        <f t="shared" si="74"/>
        <v>0</v>
      </c>
      <c r="DF23" s="52">
        <f t="shared" si="27"/>
        <v>0</v>
      </c>
      <c r="DG23" s="52">
        <f t="shared" si="28"/>
        <v>0</v>
      </c>
      <c r="DH23" s="52">
        <f t="shared" si="29"/>
        <v>0</v>
      </c>
      <c r="DI23" s="52">
        <f t="shared" si="75"/>
        <v>0</v>
      </c>
      <c r="DJ23" s="52">
        <f t="shared" si="30"/>
        <v>0</v>
      </c>
      <c r="DK23" s="52">
        <f t="shared" si="31"/>
        <v>0</v>
      </c>
      <c r="DL23" s="52">
        <f t="shared" si="32"/>
        <v>0</v>
      </c>
      <c r="DM23" s="52">
        <f t="shared" si="76"/>
        <v>0</v>
      </c>
      <c r="DN23" s="52">
        <f t="shared" si="33"/>
        <v>0</v>
      </c>
      <c r="DO23" s="52">
        <f t="shared" si="34"/>
        <v>0</v>
      </c>
      <c r="DP23" s="52">
        <f t="shared" si="35"/>
        <v>0</v>
      </c>
      <c r="DQ23" s="52">
        <f t="shared" si="77"/>
        <v>0</v>
      </c>
      <c r="DR23" s="52">
        <f t="shared" si="36"/>
        <v>0</v>
      </c>
      <c r="DS23" s="52">
        <f t="shared" si="37"/>
        <v>0</v>
      </c>
      <c r="DT23" s="52">
        <f t="shared" si="38"/>
        <v>0</v>
      </c>
      <c r="DU23" s="52">
        <f t="shared" si="78"/>
        <v>0</v>
      </c>
      <c r="DV23" s="52">
        <f t="shared" si="39"/>
        <v>0</v>
      </c>
      <c r="DW23" s="52">
        <f t="shared" si="40"/>
        <v>0</v>
      </c>
      <c r="DX23" s="52">
        <f t="shared" si="41"/>
        <v>0</v>
      </c>
      <c r="DY23" s="52">
        <f t="shared" si="79"/>
        <v>1</v>
      </c>
      <c r="DZ23" s="52">
        <f t="shared" si="42"/>
        <v>0</v>
      </c>
      <c r="EA23" s="52">
        <f t="shared" si="43"/>
        <v>0</v>
      </c>
      <c r="EB23" s="52">
        <f t="shared" si="44"/>
        <v>0</v>
      </c>
      <c r="EC23" s="52">
        <f t="shared" si="80"/>
        <v>0</v>
      </c>
      <c r="ED23" s="52">
        <f t="shared" si="45"/>
        <v>0</v>
      </c>
      <c r="EE23" s="52">
        <f t="shared" si="46"/>
        <v>0</v>
      </c>
      <c r="EF23" s="52">
        <f t="shared" si="47"/>
        <v>0</v>
      </c>
      <c r="EG23" s="52">
        <f t="shared" si="81"/>
        <v>0</v>
      </c>
      <c r="EH23" s="52">
        <f t="shared" si="48"/>
        <v>0</v>
      </c>
      <c r="EI23" s="52">
        <f t="shared" si="49"/>
        <v>0</v>
      </c>
      <c r="EJ23" s="52">
        <f t="shared" si="50"/>
        <v>0</v>
      </c>
      <c r="EK23" s="52">
        <f t="shared" si="82"/>
        <v>1</v>
      </c>
      <c r="EL23" s="52">
        <f t="shared" si="51"/>
        <v>0</v>
      </c>
      <c r="EM23" s="52"/>
      <c r="EN23" s="64">
        <f t="shared" si="83"/>
        <v>1</v>
      </c>
      <c r="EO23" s="64">
        <f t="shared" si="84"/>
        <v>0</v>
      </c>
      <c r="EP23" s="64" t="str">
        <f t="shared" si="86"/>
        <v>1</v>
      </c>
      <c r="EQ23" s="64" t="str">
        <f t="shared" si="85"/>
        <v>0</v>
      </c>
    </row>
    <row r="24" spans="1:147" s="60" customFormat="1" x14ac:dyDescent="0.25">
      <c r="A24" s="6"/>
      <c r="B24" s="115"/>
      <c r="C24" s="9"/>
      <c r="D24" s="84" t="s">
        <v>9</v>
      </c>
      <c r="E24" s="84" t="s">
        <v>13</v>
      </c>
      <c r="F24" s="84" t="s">
        <v>32</v>
      </c>
      <c r="G24" s="84" t="s">
        <v>1</v>
      </c>
      <c r="H24" s="16"/>
      <c r="I24" s="6"/>
      <c r="J24" s="6"/>
      <c r="K24" s="6"/>
      <c r="L24" s="6"/>
      <c r="M24" s="19">
        <f t="shared" si="52"/>
        <v>0</v>
      </c>
      <c r="N24" s="19">
        <f t="shared" si="0"/>
        <v>0</v>
      </c>
      <c r="O24" s="9"/>
      <c r="P24" s="9" t="s">
        <v>120</v>
      </c>
      <c r="Q24" s="9" t="s">
        <v>212</v>
      </c>
      <c r="R24" s="9"/>
      <c r="S24" s="8"/>
      <c r="T24" s="8"/>
      <c r="U24" s="4">
        <f t="shared" si="53"/>
        <v>0</v>
      </c>
      <c r="V24" s="8"/>
      <c r="W24" s="8"/>
      <c r="X24" s="8"/>
      <c r="Y24" s="8"/>
      <c r="Z24" s="8"/>
      <c r="AA24" s="8"/>
      <c r="AB24" s="5">
        <f t="shared" si="54"/>
        <v>0</v>
      </c>
      <c r="AC24" s="5">
        <f t="shared" si="55"/>
        <v>0</v>
      </c>
      <c r="AD24" s="5">
        <f t="shared" si="1"/>
        <v>0</v>
      </c>
      <c r="AE24" s="43">
        <f t="shared" si="2"/>
        <v>0</v>
      </c>
      <c r="AF24" s="3">
        <f t="shared" si="56"/>
        <v>0</v>
      </c>
      <c r="AG24" s="3">
        <f t="shared" si="57"/>
        <v>0</v>
      </c>
      <c r="AH24" s="3">
        <f t="shared" si="58"/>
        <v>0</v>
      </c>
      <c r="AI24" s="3">
        <f t="shared" si="59"/>
        <v>0</v>
      </c>
      <c r="AJ24" s="3">
        <f t="shared" si="60"/>
        <v>0</v>
      </c>
      <c r="AK24" s="3">
        <f t="shared" si="61"/>
        <v>0</v>
      </c>
      <c r="AL24" s="3">
        <f t="shared" si="62"/>
        <v>0</v>
      </c>
      <c r="AM24" s="3">
        <f t="shared" si="63"/>
        <v>0</v>
      </c>
      <c r="AN24" s="3">
        <f t="shared" si="64"/>
        <v>0</v>
      </c>
      <c r="AO24" s="54">
        <f t="shared" si="65"/>
        <v>0</v>
      </c>
      <c r="AP24" s="8"/>
      <c r="AQ24" s="29" t="s">
        <v>42</v>
      </c>
      <c r="AR24" s="8"/>
      <c r="AS24" s="8"/>
      <c r="AT24" s="8"/>
      <c r="AU24" s="104">
        <f t="shared" si="66"/>
        <v>0</v>
      </c>
      <c r="AV24" s="104">
        <f t="shared" si="3"/>
        <v>0</v>
      </c>
      <c r="AW24" s="79"/>
      <c r="AX24" s="8"/>
      <c r="AY24" s="10">
        <f t="shared" si="4"/>
        <v>0</v>
      </c>
      <c r="AZ24" s="10">
        <f t="shared" si="5"/>
        <v>0</v>
      </c>
      <c r="BA24" s="10">
        <f t="shared" si="6"/>
        <v>0</v>
      </c>
      <c r="BB24" s="10">
        <f t="shared" si="7"/>
        <v>0</v>
      </c>
      <c r="BC24" s="10">
        <f t="shared" si="8"/>
        <v>0</v>
      </c>
      <c r="BD24" s="10">
        <f t="shared" si="8"/>
        <v>0</v>
      </c>
      <c r="BE24" s="10">
        <f t="shared" si="8"/>
        <v>0</v>
      </c>
      <c r="BF24" s="10">
        <f t="shared" si="9"/>
        <v>0</v>
      </c>
      <c r="BG24" s="10">
        <f t="shared" si="10"/>
        <v>0</v>
      </c>
      <c r="BH24" s="10">
        <f t="shared" si="67"/>
        <v>0</v>
      </c>
      <c r="BI24" s="10"/>
      <c r="BJ24" s="10"/>
      <c r="BK24" s="10"/>
      <c r="BL24" s="10"/>
      <c r="BM24" s="10"/>
      <c r="BN24" s="113" t="e">
        <f>AR24/VLOOKUP(AP24,References!$A$3:$C$53,2,FALSE)</f>
        <v>#N/A</v>
      </c>
      <c r="BO24" s="113">
        <f t="shared" si="68"/>
        <v>0</v>
      </c>
      <c r="BP24" s="113">
        <f t="shared" si="11"/>
        <v>0</v>
      </c>
      <c r="BQ24" s="113">
        <f>((R24*(VLOOKUP(Q24,References!$A$57:$D$110,2,FALSE))%)+(S24*(VLOOKUP(Q24,References!$A$57:$D$110,2,FALSE))%)*(CW24+DA24+DM24))</f>
        <v>0</v>
      </c>
      <c r="BR24" s="113">
        <f>((R24*(VLOOKUP(Q24,References!$A$57:$D$110,3,FALSE))%)+(S24*(VLOOKUP(Q24,References!$A$57:$D$110,3,FALSE))%)*(CW24+DA24+DM24))</f>
        <v>0</v>
      </c>
      <c r="BS24" s="113">
        <f>((R24*(VLOOKUP(Q24,References!$A$57:$D$110,4,FALSE))%)+(S24*(VLOOKUP(Q24,References!$A$57:$D$110,4,FALSE))%)*(CW24+DA24+DM24))</f>
        <v>0</v>
      </c>
      <c r="BT24" s="10">
        <f>((((R24+S24)/100)*VLOOKUP(Q24,References!$A$58:$M$110,13,FALSE))*(CW24+DA24+DM24))</f>
        <v>0</v>
      </c>
      <c r="BU24" s="10" t="e">
        <f>(AR24/1000)*VLOOKUP(AP24,References!$A$4:$P$54,11,FALSE)</f>
        <v>#N/A</v>
      </c>
      <c r="BV24" s="10" t="e">
        <f>(AR24/1000)*VLOOKUP(AP24,References!$A$4:$P$54,12,FALSE)</f>
        <v>#N/A</v>
      </c>
      <c r="BW24" s="10" t="e">
        <f>(AR24/1000)*VLOOKUP(AP24,References!$A$4:$P$54,13,FALSE)</f>
        <v>#N/A</v>
      </c>
      <c r="BX24" s="113">
        <f t="shared" si="69"/>
        <v>0</v>
      </c>
      <c r="BY24" s="113">
        <f t="shared" si="69"/>
        <v>0</v>
      </c>
      <c r="BZ24" s="113">
        <f t="shared" si="69"/>
        <v>0</v>
      </c>
      <c r="CA24" s="113">
        <f t="shared" si="13"/>
        <v>0</v>
      </c>
      <c r="CB24" s="113">
        <f t="shared" si="14"/>
        <v>0</v>
      </c>
      <c r="CC24" s="113">
        <f t="shared" si="15"/>
        <v>0</v>
      </c>
      <c r="CD24" s="113">
        <f t="shared" si="16"/>
        <v>0</v>
      </c>
      <c r="CE24" s="113">
        <f t="shared" si="17"/>
        <v>0</v>
      </c>
      <c r="CF24" s="113">
        <f t="shared" si="18"/>
        <v>0</v>
      </c>
      <c r="CG24" s="113"/>
      <c r="CH24" s="113"/>
      <c r="CI24" s="113"/>
      <c r="CJ24" s="113"/>
      <c r="CK24" s="113"/>
      <c r="CL24" s="113"/>
      <c r="CM24" s="113">
        <f t="shared" si="19"/>
        <v>0</v>
      </c>
      <c r="CN24" s="113" t="e">
        <f>R24*VLOOKUP(Q24,References!$A$86:$E$158,2,FALSE)+S24*VLOOKUP(Q24,References!$A$86:$E$158,2,FALSE)</f>
        <v>#N/A</v>
      </c>
      <c r="CO24" s="113" t="e">
        <f>((VLOOKUP(Q24,References!$A$86:$E$158,3,FALSE)-(CN24/C$7))/(VLOOKUP(Q24,References!$A$86:$E$158,3,FALSE)))</f>
        <v>#N/A</v>
      </c>
      <c r="CP24" s="101" t="e">
        <f t="shared" si="70"/>
        <v>#N/A</v>
      </c>
      <c r="CQ24" s="113">
        <f t="shared" si="71"/>
        <v>0</v>
      </c>
      <c r="CR24" s="113">
        <f t="shared" si="20"/>
        <v>0</v>
      </c>
      <c r="CS24" s="113">
        <f t="shared" si="20"/>
        <v>0</v>
      </c>
      <c r="CT24" s="113"/>
      <c r="CU24" s="10"/>
      <c r="CV24" s="10"/>
      <c r="CW24" s="52">
        <f t="shared" si="72"/>
        <v>0</v>
      </c>
      <c r="CX24" s="52">
        <f t="shared" si="21"/>
        <v>0</v>
      </c>
      <c r="CY24" s="52">
        <f t="shared" si="22"/>
        <v>0</v>
      </c>
      <c r="CZ24" s="52">
        <f t="shared" si="23"/>
        <v>0</v>
      </c>
      <c r="DA24" s="52">
        <f t="shared" si="73"/>
        <v>0</v>
      </c>
      <c r="DB24" s="52">
        <f t="shared" si="24"/>
        <v>0</v>
      </c>
      <c r="DC24" s="52">
        <f t="shared" si="25"/>
        <v>0</v>
      </c>
      <c r="DD24" s="52">
        <f t="shared" si="26"/>
        <v>0</v>
      </c>
      <c r="DE24" s="52">
        <f t="shared" si="74"/>
        <v>0</v>
      </c>
      <c r="DF24" s="52">
        <f t="shared" si="27"/>
        <v>0</v>
      </c>
      <c r="DG24" s="52">
        <f t="shared" si="28"/>
        <v>0</v>
      </c>
      <c r="DH24" s="52">
        <f t="shared" si="29"/>
        <v>0</v>
      </c>
      <c r="DI24" s="52">
        <f t="shared" si="75"/>
        <v>0</v>
      </c>
      <c r="DJ24" s="52">
        <f t="shared" si="30"/>
        <v>0</v>
      </c>
      <c r="DK24" s="52">
        <f t="shared" si="31"/>
        <v>0</v>
      </c>
      <c r="DL24" s="52">
        <f t="shared" si="32"/>
        <v>0</v>
      </c>
      <c r="DM24" s="52">
        <f t="shared" si="76"/>
        <v>0</v>
      </c>
      <c r="DN24" s="52">
        <f t="shared" si="33"/>
        <v>0</v>
      </c>
      <c r="DO24" s="52">
        <f t="shared" si="34"/>
        <v>0</v>
      </c>
      <c r="DP24" s="52">
        <f t="shared" si="35"/>
        <v>0</v>
      </c>
      <c r="DQ24" s="52">
        <f t="shared" si="77"/>
        <v>0</v>
      </c>
      <c r="DR24" s="52">
        <f t="shared" si="36"/>
        <v>0</v>
      </c>
      <c r="DS24" s="52">
        <f t="shared" si="37"/>
        <v>0</v>
      </c>
      <c r="DT24" s="52">
        <f t="shared" si="38"/>
        <v>0</v>
      </c>
      <c r="DU24" s="52">
        <f t="shared" si="78"/>
        <v>0</v>
      </c>
      <c r="DV24" s="52">
        <f t="shared" si="39"/>
        <v>0</v>
      </c>
      <c r="DW24" s="52">
        <f t="shared" si="40"/>
        <v>0</v>
      </c>
      <c r="DX24" s="52">
        <f t="shared" si="41"/>
        <v>0</v>
      </c>
      <c r="DY24" s="52">
        <f t="shared" si="79"/>
        <v>0</v>
      </c>
      <c r="DZ24" s="52">
        <f t="shared" si="42"/>
        <v>0</v>
      </c>
      <c r="EA24" s="52">
        <f t="shared" si="43"/>
        <v>0</v>
      </c>
      <c r="EB24" s="52">
        <f t="shared" si="44"/>
        <v>0</v>
      </c>
      <c r="EC24" s="52">
        <f t="shared" si="80"/>
        <v>1</v>
      </c>
      <c r="ED24" s="52">
        <f t="shared" si="45"/>
        <v>0</v>
      </c>
      <c r="EE24" s="52">
        <f t="shared" si="46"/>
        <v>0</v>
      </c>
      <c r="EF24" s="52">
        <f t="shared" si="47"/>
        <v>0</v>
      </c>
      <c r="EG24" s="52">
        <f t="shared" si="81"/>
        <v>0</v>
      </c>
      <c r="EH24" s="52">
        <f t="shared" si="48"/>
        <v>0</v>
      </c>
      <c r="EI24" s="52">
        <f t="shared" si="49"/>
        <v>0</v>
      </c>
      <c r="EJ24" s="52">
        <f t="shared" si="50"/>
        <v>0</v>
      </c>
      <c r="EK24" s="52">
        <f t="shared" si="82"/>
        <v>1</v>
      </c>
      <c r="EL24" s="52">
        <f t="shared" si="51"/>
        <v>0</v>
      </c>
      <c r="EM24" s="52"/>
      <c r="EN24" s="64">
        <f t="shared" si="83"/>
        <v>0</v>
      </c>
      <c r="EO24" s="64">
        <f t="shared" si="84"/>
        <v>1</v>
      </c>
      <c r="EP24" s="64" t="str">
        <f t="shared" si="86"/>
        <v>1</v>
      </c>
      <c r="EQ24" s="64" t="str">
        <f t="shared" si="85"/>
        <v>0</v>
      </c>
    </row>
    <row r="25" spans="1:147" s="60" customFormat="1" x14ac:dyDescent="0.25">
      <c r="A25" s="6"/>
      <c r="B25" s="115"/>
      <c r="C25" s="9"/>
      <c r="D25" s="84" t="s">
        <v>9</v>
      </c>
      <c r="E25" s="84" t="s">
        <v>13</v>
      </c>
      <c r="F25" s="84" t="s">
        <v>66</v>
      </c>
      <c r="G25" s="84" t="s">
        <v>1</v>
      </c>
      <c r="H25" s="16"/>
      <c r="I25" s="6"/>
      <c r="J25" s="6"/>
      <c r="K25" s="6"/>
      <c r="L25" s="6"/>
      <c r="M25" s="19">
        <f t="shared" si="52"/>
        <v>0</v>
      </c>
      <c r="N25" s="19">
        <f t="shared" si="0"/>
        <v>0</v>
      </c>
      <c r="O25" s="9"/>
      <c r="P25" s="9" t="s">
        <v>120</v>
      </c>
      <c r="Q25" s="9" t="s">
        <v>212</v>
      </c>
      <c r="R25" s="9"/>
      <c r="S25" s="8"/>
      <c r="T25" s="8"/>
      <c r="U25" s="4">
        <f t="shared" si="53"/>
        <v>0</v>
      </c>
      <c r="V25" s="8"/>
      <c r="W25" s="8"/>
      <c r="X25" s="8"/>
      <c r="Y25" s="8"/>
      <c r="Z25" s="8"/>
      <c r="AA25" s="8"/>
      <c r="AB25" s="5">
        <f t="shared" si="54"/>
        <v>0</v>
      </c>
      <c r="AC25" s="5">
        <f t="shared" si="55"/>
        <v>0</v>
      </c>
      <c r="AD25" s="5">
        <f t="shared" si="1"/>
        <v>0</v>
      </c>
      <c r="AE25" s="43">
        <f t="shared" si="2"/>
        <v>0</v>
      </c>
      <c r="AF25" s="3">
        <f t="shared" si="56"/>
        <v>0</v>
      </c>
      <c r="AG25" s="3">
        <f t="shared" si="57"/>
        <v>0</v>
      </c>
      <c r="AH25" s="3">
        <f t="shared" si="58"/>
        <v>0</v>
      </c>
      <c r="AI25" s="3">
        <f t="shared" si="59"/>
        <v>0</v>
      </c>
      <c r="AJ25" s="3">
        <f t="shared" si="60"/>
        <v>0</v>
      </c>
      <c r="AK25" s="3">
        <f t="shared" si="61"/>
        <v>0</v>
      </c>
      <c r="AL25" s="3">
        <f t="shared" si="62"/>
        <v>0</v>
      </c>
      <c r="AM25" s="3">
        <f t="shared" si="63"/>
        <v>0</v>
      </c>
      <c r="AN25" s="3">
        <f t="shared" si="64"/>
        <v>0</v>
      </c>
      <c r="AO25" s="54">
        <f t="shared" si="65"/>
        <v>0</v>
      </c>
      <c r="AP25" s="8"/>
      <c r="AQ25" s="29" t="s">
        <v>42</v>
      </c>
      <c r="AR25" s="8"/>
      <c r="AS25" s="8"/>
      <c r="AT25" s="8"/>
      <c r="AU25" s="104">
        <f t="shared" si="66"/>
        <v>0</v>
      </c>
      <c r="AV25" s="104">
        <f t="shared" si="3"/>
        <v>0</v>
      </c>
      <c r="AW25" s="79"/>
      <c r="AX25" s="8"/>
      <c r="AY25" s="10">
        <f t="shared" si="4"/>
        <v>0</v>
      </c>
      <c r="AZ25" s="10">
        <f t="shared" si="5"/>
        <v>0</v>
      </c>
      <c r="BA25" s="10">
        <f t="shared" si="6"/>
        <v>0</v>
      </c>
      <c r="BB25" s="10">
        <f t="shared" si="7"/>
        <v>0</v>
      </c>
      <c r="BC25" s="10">
        <f t="shared" si="8"/>
        <v>0</v>
      </c>
      <c r="BD25" s="10">
        <f t="shared" si="8"/>
        <v>0</v>
      </c>
      <c r="BE25" s="10">
        <f t="shared" si="8"/>
        <v>0</v>
      </c>
      <c r="BF25" s="10">
        <f t="shared" si="9"/>
        <v>0</v>
      </c>
      <c r="BG25" s="10">
        <f t="shared" si="10"/>
        <v>0</v>
      </c>
      <c r="BH25" s="10">
        <f t="shared" si="67"/>
        <v>0</v>
      </c>
      <c r="BI25" s="10"/>
      <c r="BJ25" s="10"/>
      <c r="BK25" s="10"/>
      <c r="BL25" s="10"/>
      <c r="BM25" s="10"/>
      <c r="BN25" s="113" t="e">
        <f>AR25/VLOOKUP(AP25,References!$A$3:$C$53,2,FALSE)</f>
        <v>#N/A</v>
      </c>
      <c r="BO25" s="113">
        <f t="shared" si="68"/>
        <v>0</v>
      </c>
      <c r="BP25" s="113">
        <f t="shared" si="11"/>
        <v>0</v>
      </c>
      <c r="BQ25" s="113">
        <f>((R25*(VLOOKUP(Q25,References!$A$57:$D$110,2,FALSE))%)+(S25*(VLOOKUP(Q25,References!$A$57:$D$110,2,FALSE))%)*(CW25+DA25+DM25))</f>
        <v>0</v>
      </c>
      <c r="BR25" s="113">
        <f>((R25*(VLOOKUP(Q25,References!$A$57:$D$110,3,FALSE))%)+(S25*(VLOOKUP(Q25,References!$A$57:$D$110,3,FALSE))%)*(CW25+DA25+DM25))</f>
        <v>0</v>
      </c>
      <c r="BS25" s="113">
        <f>((R25*(VLOOKUP(Q25,References!$A$57:$D$110,4,FALSE))%)+(S25*(VLOOKUP(Q25,References!$A$57:$D$110,4,FALSE))%)*(CW25+DA25+DM25))</f>
        <v>0</v>
      </c>
      <c r="BT25" s="10">
        <f>((((R25+S25)/100)*VLOOKUP(Q25,References!$A$58:$M$110,13,FALSE))*(CW25+DA25+DM25))</f>
        <v>0</v>
      </c>
      <c r="BU25" s="10" t="e">
        <f>(AR25/1000)*VLOOKUP(AP25,References!$A$4:$P$54,11,FALSE)</f>
        <v>#N/A</v>
      </c>
      <c r="BV25" s="10" t="e">
        <f>(AR25/1000)*VLOOKUP(AP25,References!$A$4:$P$54,12,FALSE)</f>
        <v>#N/A</v>
      </c>
      <c r="BW25" s="10" t="e">
        <f>(AR25/1000)*VLOOKUP(AP25,References!$A$4:$P$54,13,FALSE)</f>
        <v>#N/A</v>
      </c>
      <c r="BX25" s="113">
        <f t="shared" si="69"/>
        <v>0</v>
      </c>
      <c r="BY25" s="113">
        <f t="shared" si="69"/>
        <v>0</v>
      </c>
      <c r="BZ25" s="113">
        <f t="shared" si="69"/>
        <v>0</v>
      </c>
      <c r="CA25" s="113">
        <f t="shared" si="13"/>
        <v>0</v>
      </c>
      <c r="CB25" s="113">
        <f t="shared" si="14"/>
        <v>0</v>
      </c>
      <c r="CC25" s="113">
        <f t="shared" si="15"/>
        <v>0</v>
      </c>
      <c r="CD25" s="113">
        <f t="shared" si="16"/>
        <v>0</v>
      </c>
      <c r="CE25" s="113">
        <f t="shared" si="17"/>
        <v>0</v>
      </c>
      <c r="CF25" s="113">
        <f t="shared" si="18"/>
        <v>0</v>
      </c>
      <c r="CG25" s="113"/>
      <c r="CH25" s="113"/>
      <c r="CI25" s="113"/>
      <c r="CJ25" s="113"/>
      <c r="CK25" s="113"/>
      <c r="CL25" s="113"/>
      <c r="CM25" s="113">
        <f t="shared" si="19"/>
        <v>0</v>
      </c>
      <c r="CN25" s="113" t="e">
        <f>R25*VLOOKUP(Q25,References!$A$86:$E$158,2,FALSE)+S25*VLOOKUP(Q25,References!$A$86:$E$158,2,FALSE)</f>
        <v>#N/A</v>
      </c>
      <c r="CO25" s="113" t="e">
        <f>((VLOOKUP(Q25,References!$A$86:$E$158,3,FALSE)-(CN25/C$7))/(VLOOKUP(Q25,References!$A$86:$E$158,3,FALSE)))</f>
        <v>#N/A</v>
      </c>
      <c r="CP25" s="101" t="e">
        <f t="shared" si="70"/>
        <v>#N/A</v>
      </c>
      <c r="CQ25" s="113">
        <f t="shared" si="71"/>
        <v>0</v>
      </c>
      <c r="CR25" s="113">
        <f t="shared" si="20"/>
        <v>0</v>
      </c>
      <c r="CS25" s="113">
        <f t="shared" si="20"/>
        <v>0</v>
      </c>
      <c r="CT25" s="113"/>
      <c r="CU25" s="10"/>
      <c r="CV25" s="10"/>
      <c r="CW25" s="52">
        <f t="shared" si="72"/>
        <v>0</v>
      </c>
      <c r="CX25" s="52">
        <f t="shared" si="21"/>
        <v>0</v>
      </c>
      <c r="CY25" s="52">
        <f t="shared" si="22"/>
        <v>0</v>
      </c>
      <c r="CZ25" s="52">
        <f t="shared" si="23"/>
        <v>0</v>
      </c>
      <c r="DA25" s="52">
        <f t="shared" si="73"/>
        <v>0</v>
      </c>
      <c r="DB25" s="52">
        <f t="shared" si="24"/>
        <v>0</v>
      </c>
      <c r="DC25" s="52">
        <f t="shared" si="25"/>
        <v>0</v>
      </c>
      <c r="DD25" s="52">
        <f t="shared" si="26"/>
        <v>0</v>
      </c>
      <c r="DE25" s="52">
        <f t="shared" si="74"/>
        <v>0</v>
      </c>
      <c r="DF25" s="52">
        <f t="shared" si="27"/>
        <v>0</v>
      </c>
      <c r="DG25" s="52">
        <f t="shared" si="28"/>
        <v>0</v>
      </c>
      <c r="DH25" s="52">
        <f t="shared" si="29"/>
        <v>0</v>
      </c>
      <c r="DI25" s="52">
        <f t="shared" si="75"/>
        <v>0</v>
      </c>
      <c r="DJ25" s="52">
        <f t="shared" si="30"/>
        <v>0</v>
      </c>
      <c r="DK25" s="52">
        <f t="shared" si="31"/>
        <v>0</v>
      </c>
      <c r="DL25" s="52">
        <f t="shared" si="32"/>
        <v>0</v>
      </c>
      <c r="DM25" s="52">
        <f t="shared" si="76"/>
        <v>0</v>
      </c>
      <c r="DN25" s="52">
        <f t="shared" si="33"/>
        <v>0</v>
      </c>
      <c r="DO25" s="52">
        <f t="shared" si="34"/>
        <v>0</v>
      </c>
      <c r="DP25" s="52">
        <f t="shared" si="35"/>
        <v>0</v>
      </c>
      <c r="DQ25" s="52">
        <f t="shared" si="77"/>
        <v>0</v>
      </c>
      <c r="DR25" s="52">
        <f t="shared" si="36"/>
        <v>0</v>
      </c>
      <c r="DS25" s="52">
        <f t="shared" si="37"/>
        <v>0</v>
      </c>
      <c r="DT25" s="52">
        <f t="shared" si="38"/>
        <v>0</v>
      </c>
      <c r="DU25" s="52">
        <f t="shared" si="78"/>
        <v>0</v>
      </c>
      <c r="DV25" s="52">
        <f t="shared" si="39"/>
        <v>0</v>
      </c>
      <c r="DW25" s="52">
        <f t="shared" si="40"/>
        <v>0</v>
      </c>
      <c r="DX25" s="52">
        <f t="shared" si="41"/>
        <v>0</v>
      </c>
      <c r="DY25" s="52">
        <f t="shared" si="79"/>
        <v>0</v>
      </c>
      <c r="DZ25" s="52">
        <f t="shared" si="42"/>
        <v>0</v>
      </c>
      <c r="EA25" s="52">
        <f t="shared" si="43"/>
        <v>0</v>
      </c>
      <c r="EB25" s="52">
        <f t="shared" si="44"/>
        <v>0</v>
      </c>
      <c r="EC25" s="52">
        <f t="shared" si="80"/>
        <v>1</v>
      </c>
      <c r="ED25" s="52">
        <f t="shared" si="45"/>
        <v>0</v>
      </c>
      <c r="EE25" s="52">
        <f t="shared" si="46"/>
        <v>0</v>
      </c>
      <c r="EF25" s="52">
        <f t="shared" si="47"/>
        <v>0</v>
      </c>
      <c r="EG25" s="52">
        <f t="shared" si="81"/>
        <v>0</v>
      </c>
      <c r="EH25" s="52">
        <f t="shared" si="48"/>
        <v>0</v>
      </c>
      <c r="EI25" s="52">
        <f t="shared" si="49"/>
        <v>0</v>
      </c>
      <c r="EJ25" s="52">
        <f t="shared" si="50"/>
        <v>0</v>
      </c>
      <c r="EK25" s="52">
        <f t="shared" si="82"/>
        <v>1</v>
      </c>
      <c r="EL25" s="52">
        <f t="shared" si="51"/>
        <v>0</v>
      </c>
      <c r="EM25" s="52"/>
      <c r="EN25" s="64">
        <f t="shared" si="83"/>
        <v>0</v>
      </c>
      <c r="EO25" s="64">
        <f t="shared" si="84"/>
        <v>1</v>
      </c>
      <c r="EP25" s="64" t="str">
        <f t="shared" si="86"/>
        <v>1</v>
      </c>
      <c r="EQ25" s="64" t="str">
        <f t="shared" si="85"/>
        <v>0</v>
      </c>
    </row>
    <row r="26" spans="1:147" x14ac:dyDescent="0.25">
      <c r="A26" s="6"/>
      <c r="B26" s="115"/>
      <c r="C26" s="9"/>
      <c r="D26" s="84" t="s">
        <v>9</v>
      </c>
      <c r="E26" s="84" t="s">
        <v>13</v>
      </c>
      <c r="F26" s="84" t="s">
        <v>32</v>
      </c>
      <c r="G26" s="84" t="s">
        <v>1</v>
      </c>
      <c r="H26" s="16"/>
      <c r="I26" s="6"/>
      <c r="J26" s="6"/>
      <c r="K26" s="6"/>
      <c r="L26" s="6"/>
      <c r="M26" s="19">
        <f t="shared" si="52"/>
        <v>0</v>
      </c>
      <c r="N26" s="19">
        <f t="shared" si="0"/>
        <v>0</v>
      </c>
      <c r="O26" s="9"/>
      <c r="P26" s="9" t="s">
        <v>120</v>
      </c>
      <c r="Q26" s="9" t="s">
        <v>212</v>
      </c>
      <c r="R26" s="9"/>
      <c r="U26" s="4">
        <f t="shared" si="53"/>
        <v>0</v>
      </c>
      <c r="V26" s="8"/>
      <c r="W26" s="8"/>
      <c r="X26" s="8"/>
      <c r="Y26" s="8"/>
      <c r="Z26" s="8"/>
      <c r="AA26" s="8"/>
      <c r="AB26" s="5">
        <f t="shared" si="54"/>
        <v>0</v>
      </c>
      <c r="AC26" s="5">
        <f t="shared" si="55"/>
        <v>0</v>
      </c>
      <c r="AD26" s="5">
        <f t="shared" si="1"/>
        <v>0</v>
      </c>
      <c r="AE26" s="43">
        <f t="shared" si="2"/>
        <v>0</v>
      </c>
      <c r="AF26" s="3">
        <f t="shared" si="56"/>
        <v>0</v>
      </c>
      <c r="AG26" s="3">
        <f t="shared" si="57"/>
        <v>0</v>
      </c>
      <c r="AH26" s="3">
        <f t="shared" si="58"/>
        <v>0</v>
      </c>
      <c r="AI26" s="3">
        <f t="shared" si="59"/>
        <v>0</v>
      </c>
      <c r="AJ26" s="3">
        <f t="shared" si="60"/>
        <v>0</v>
      </c>
      <c r="AK26" s="3">
        <f t="shared" si="61"/>
        <v>0</v>
      </c>
      <c r="AL26" s="3">
        <f t="shared" si="62"/>
        <v>0</v>
      </c>
      <c r="AM26" s="3">
        <f t="shared" si="63"/>
        <v>0</v>
      </c>
      <c r="AN26" s="3">
        <f t="shared" si="64"/>
        <v>0</v>
      </c>
      <c r="AO26" s="54">
        <f t="shared" si="65"/>
        <v>0</v>
      </c>
      <c r="AP26" s="8"/>
      <c r="AQ26" s="29" t="s">
        <v>42</v>
      </c>
      <c r="AR26" s="8"/>
      <c r="AS26" s="8"/>
      <c r="AT26" s="8"/>
      <c r="AU26" s="104">
        <f t="shared" si="66"/>
        <v>0</v>
      </c>
      <c r="AV26" s="104">
        <f t="shared" si="3"/>
        <v>0</v>
      </c>
      <c r="AW26" s="79"/>
      <c r="AY26" s="10">
        <f t="shared" si="4"/>
        <v>0</v>
      </c>
      <c r="AZ26" s="10">
        <f t="shared" si="5"/>
        <v>0</v>
      </c>
      <c r="BA26" s="10">
        <f t="shared" si="6"/>
        <v>0</v>
      </c>
      <c r="BB26" s="10">
        <f t="shared" si="7"/>
        <v>0</v>
      </c>
      <c r="BC26" s="10">
        <f t="shared" si="8"/>
        <v>0</v>
      </c>
      <c r="BD26" s="10">
        <f t="shared" si="8"/>
        <v>0</v>
      </c>
      <c r="BE26" s="10">
        <f t="shared" si="8"/>
        <v>0</v>
      </c>
      <c r="BF26" s="10">
        <f t="shared" si="9"/>
        <v>0</v>
      </c>
      <c r="BG26" s="10">
        <f t="shared" si="10"/>
        <v>0</v>
      </c>
      <c r="BH26" s="10">
        <f t="shared" si="67"/>
        <v>0</v>
      </c>
      <c r="BI26" s="10"/>
      <c r="BJ26" s="10"/>
      <c r="BK26" s="10"/>
      <c r="BL26" s="10"/>
      <c r="BM26" s="10"/>
      <c r="BN26" s="113" t="e">
        <f>AR26/VLOOKUP(AP26,References!$A$3:$C$53,2,FALSE)</f>
        <v>#N/A</v>
      </c>
      <c r="BO26" s="113">
        <f t="shared" si="68"/>
        <v>0</v>
      </c>
      <c r="BP26" s="113">
        <f t="shared" si="11"/>
        <v>0</v>
      </c>
      <c r="BQ26" s="113">
        <f>((R26*(VLOOKUP(Q26,References!$A$57:$D$110,2,FALSE))%)+(S26*(VLOOKUP(Q26,References!$A$57:$D$110,2,FALSE))%)*(CW26+DA26+DM26))</f>
        <v>0</v>
      </c>
      <c r="BR26" s="113">
        <f>((R26*(VLOOKUP(Q26,References!$A$57:$D$110,3,FALSE))%)+(S26*(VLOOKUP(Q26,References!$A$57:$D$110,3,FALSE))%)*(CW26+DA26+DM26))</f>
        <v>0</v>
      </c>
      <c r="BS26" s="113">
        <f>((R26*(VLOOKUP(Q26,References!$A$57:$D$110,4,FALSE))%)+(S26*(VLOOKUP(Q26,References!$A$57:$D$110,4,FALSE))%)*(CW26+DA26+DM26))</f>
        <v>0</v>
      </c>
      <c r="BT26" s="10">
        <f>((((R26+S26)/100)*VLOOKUP(Q26,References!$A$58:$M$110,13,FALSE))*(CW26+DA26+DM26))</f>
        <v>0</v>
      </c>
      <c r="BU26" s="10" t="e">
        <f>(AR26/1000)*VLOOKUP(AP26,References!$A$4:$P$54,11,FALSE)</f>
        <v>#N/A</v>
      </c>
      <c r="BV26" s="10" t="e">
        <f>(AR26/1000)*VLOOKUP(AP26,References!$A$4:$P$54,12,FALSE)</f>
        <v>#N/A</v>
      </c>
      <c r="BW26" s="10" t="e">
        <f>(AR26/1000)*VLOOKUP(AP26,References!$A$4:$P$54,13,FALSE)</f>
        <v>#N/A</v>
      </c>
      <c r="BX26" s="113">
        <f t="shared" si="69"/>
        <v>0</v>
      </c>
      <c r="BY26" s="113">
        <f t="shared" si="69"/>
        <v>0</v>
      </c>
      <c r="BZ26" s="113">
        <f t="shared" si="69"/>
        <v>0</v>
      </c>
      <c r="CA26" s="113">
        <f t="shared" si="13"/>
        <v>0</v>
      </c>
      <c r="CB26" s="113">
        <f t="shared" si="14"/>
        <v>0</v>
      </c>
      <c r="CC26" s="113">
        <f t="shared" si="15"/>
        <v>0</v>
      </c>
      <c r="CD26" s="113">
        <f t="shared" si="16"/>
        <v>0</v>
      </c>
      <c r="CE26" s="113">
        <f t="shared" si="17"/>
        <v>0</v>
      </c>
      <c r="CF26" s="113">
        <f t="shared" si="18"/>
        <v>0</v>
      </c>
      <c r="CG26" s="113"/>
      <c r="CH26" s="113"/>
      <c r="CI26" s="113"/>
      <c r="CJ26" s="113"/>
      <c r="CK26" s="113"/>
      <c r="CL26" s="113"/>
      <c r="CM26" s="113">
        <f t="shared" si="19"/>
        <v>0</v>
      </c>
      <c r="CN26" s="113" t="e">
        <f>R26*VLOOKUP(Q26,References!$A$86:$E$158,2,FALSE)+S26*VLOOKUP(Q26,References!$A$86:$E$158,2,FALSE)</f>
        <v>#N/A</v>
      </c>
      <c r="CO26" s="113" t="e">
        <f>((VLOOKUP(Q26,References!$A$86:$E$158,3,FALSE)-(CN26/C$7))/(VLOOKUP(Q26,References!$A$86:$E$158,3,FALSE)))</f>
        <v>#N/A</v>
      </c>
      <c r="CP26" s="101" t="e">
        <f t="shared" si="70"/>
        <v>#N/A</v>
      </c>
      <c r="CQ26" s="113">
        <f t="shared" si="71"/>
        <v>0</v>
      </c>
      <c r="CR26" s="113">
        <f t="shared" si="20"/>
        <v>0</v>
      </c>
      <c r="CS26" s="113">
        <f t="shared" si="20"/>
        <v>0</v>
      </c>
      <c r="CT26" s="113"/>
      <c r="CU26" s="10"/>
      <c r="CV26" s="10"/>
      <c r="CW26" s="7">
        <f t="shared" si="72"/>
        <v>0</v>
      </c>
      <c r="CX26" s="7">
        <f t="shared" si="21"/>
        <v>0</v>
      </c>
      <c r="CY26" s="7">
        <f t="shared" si="22"/>
        <v>0</v>
      </c>
      <c r="CZ26" s="7">
        <f t="shared" si="23"/>
        <v>0</v>
      </c>
      <c r="DA26" s="7">
        <f t="shared" si="73"/>
        <v>0</v>
      </c>
      <c r="DB26" s="7">
        <f t="shared" si="24"/>
        <v>0</v>
      </c>
      <c r="DC26" s="7">
        <f t="shared" si="25"/>
        <v>0</v>
      </c>
      <c r="DD26" s="7">
        <f t="shared" si="26"/>
        <v>0</v>
      </c>
      <c r="DE26" s="7">
        <f t="shared" si="74"/>
        <v>0</v>
      </c>
      <c r="DF26" s="7">
        <f t="shared" si="27"/>
        <v>0</v>
      </c>
      <c r="DG26" s="7">
        <f t="shared" si="28"/>
        <v>0</v>
      </c>
      <c r="DH26" s="7">
        <f t="shared" si="29"/>
        <v>0</v>
      </c>
      <c r="DI26" s="7">
        <f t="shared" si="75"/>
        <v>0</v>
      </c>
      <c r="DJ26" s="7">
        <f t="shared" si="30"/>
        <v>0</v>
      </c>
      <c r="DK26" s="7">
        <f t="shared" si="31"/>
        <v>0</v>
      </c>
      <c r="DL26" s="7">
        <f t="shared" si="32"/>
        <v>0</v>
      </c>
      <c r="DM26" s="7">
        <f t="shared" si="76"/>
        <v>0</v>
      </c>
      <c r="DN26" s="7">
        <f t="shared" si="33"/>
        <v>0</v>
      </c>
      <c r="DO26" s="7">
        <f t="shared" si="34"/>
        <v>0</v>
      </c>
      <c r="DP26" s="7">
        <f t="shared" si="35"/>
        <v>0</v>
      </c>
      <c r="DQ26" s="7">
        <f t="shared" si="77"/>
        <v>0</v>
      </c>
      <c r="DR26" s="7">
        <f t="shared" si="36"/>
        <v>0</v>
      </c>
      <c r="DS26" s="7">
        <f t="shared" si="37"/>
        <v>0</v>
      </c>
      <c r="DT26" s="7">
        <f t="shared" si="38"/>
        <v>0</v>
      </c>
      <c r="DU26" s="7">
        <f t="shared" si="78"/>
        <v>0</v>
      </c>
      <c r="DV26" s="7">
        <f t="shared" si="39"/>
        <v>0</v>
      </c>
      <c r="DW26" s="7">
        <f t="shared" si="40"/>
        <v>0</v>
      </c>
      <c r="DX26" s="7">
        <f t="shared" si="41"/>
        <v>0</v>
      </c>
      <c r="DY26" s="7">
        <f t="shared" si="79"/>
        <v>0</v>
      </c>
      <c r="DZ26" s="7">
        <f t="shared" si="42"/>
        <v>0</v>
      </c>
      <c r="EA26" s="7">
        <f t="shared" si="43"/>
        <v>0</v>
      </c>
      <c r="EB26" s="7">
        <f t="shared" si="44"/>
        <v>0</v>
      </c>
      <c r="EC26" s="7">
        <f t="shared" si="80"/>
        <v>1</v>
      </c>
      <c r="ED26" s="7">
        <f t="shared" si="45"/>
        <v>0</v>
      </c>
      <c r="EE26" s="7">
        <f t="shared" si="46"/>
        <v>0</v>
      </c>
      <c r="EF26" s="7">
        <f t="shared" si="47"/>
        <v>0</v>
      </c>
      <c r="EG26" s="7">
        <f t="shared" si="81"/>
        <v>0</v>
      </c>
      <c r="EH26" s="7">
        <f t="shared" si="48"/>
        <v>0</v>
      </c>
      <c r="EI26" s="7">
        <f t="shared" si="49"/>
        <v>0</v>
      </c>
      <c r="EJ26" s="7">
        <f t="shared" si="50"/>
        <v>0</v>
      </c>
      <c r="EK26" s="7">
        <f t="shared" si="82"/>
        <v>1</v>
      </c>
      <c r="EL26" s="7">
        <f t="shared" si="51"/>
        <v>0</v>
      </c>
      <c r="EM26" s="7"/>
      <c r="EN26" s="63">
        <f t="shared" si="83"/>
        <v>0</v>
      </c>
      <c r="EO26" s="63">
        <f t="shared" si="84"/>
        <v>1</v>
      </c>
      <c r="EP26" s="63" t="str">
        <f t="shared" si="86"/>
        <v>1</v>
      </c>
      <c r="EQ26" s="63" t="str">
        <f t="shared" si="85"/>
        <v>0</v>
      </c>
    </row>
    <row r="27" spans="1:147" s="60" customFormat="1" x14ac:dyDescent="0.25">
      <c r="A27" s="59"/>
      <c r="B27" s="55"/>
      <c r="C27" s="56"/>
      <c r="D27" s="57" t="s">
        <v>9</v>
      </c>
      <c r="E27" s="57" t="s">
        <v>38</v>
      </c>
      <c r="F27" s="57" t="s">
        <v>32</v>
      </c>
      <c r="G27" s="57" t="s">
        <v>1</v>
      </c>
      <c r="H27" s="58"/>
      <c r="I27" s="59"/>
      <c r="J27" s="59"/>
      <c r="K27" s="59"/>
      <c r="L27" s="59"/>
      <c r="M27" s="19">
        <f t="shared" si="52"/>
        <v>0</v>
      </c>
      <c r="N27" s="19">
        <f t="shared" si="0"/>
        <v>0</v>
      </c>
      <c r="O27" s="56"/>
      <c r="P27" s="56" t="s">
        <v>120</v>
      </c>
      <c r="Q27" s="56" t="s">
        <v>212</v>
      </c>
      <c r="R27" s="56"/>
      <c r="U27" s="4">
        <f t="shared" si="53"/>
        <v>0</v>
      </c>
      <c r="AB27" s="5">
        <f t="shared" si="54"/>
        <v>0</v>
      </c>
      <c r="AC27" s="5">
        <f t="shared" si="55"/>
        <v>0</v>
      </c>
      <c r="AD27" s="5">
        <f t="shared" si="1"/>
        <v>0</v>
      </c>
      <c r="AE27" s="43">
        <f t="shared" si="2"/>
        <v>0</v>
      </c>
      <c r="AF27" s="3">
        <f t="shared" si="56"/>
        <v>0</v>
      </c>
      <c r="AG27" s="3">
        <f t="shared" si="57"/>
        <v>0</v>
      </c>
      <c r="AH27" s="3">
        <f t="shared" si="58"/>
        <v>0</v>
      </c>
      <c r="AI27" s="3">
        <f t="shared" si="59"/>
        <v>0</v>
      </c>
      <c r="AJ27" s="3">
        <f t="shared" si="60"/>
        <v>0</v>
      </c>
      <c r="AK27" s="3">
        <f t="shared" si="61"/>
        <v>0</v>
      </c>
      <c r="AL27" s="3">
        <f t="shared" si="62"/>
        <v>0</v>
      </c>
      <c r="AM27" s="3">
        <f t="shared" si="63"/>
        <v>0</v>
      </c>
      <c r="AN27" s="3">
        <f t="shared" si="64"/>
        <v>0</v>
      </c>
      <c r="AO27" s="54">
        <f t="shared" si="65"/>
        <v>0</v>
      </c>
      <c r="AQ27" s="57" t="s">
        <v>42</v>
      </c>
      <c r="AU27" s="104">
        <f t="shared" si="66"/>
        <v>0</v>
      </c>
      <c r="AV27" s="104">
        <f t="shared" si="3"/>
        <v>0</v>
      </c>
      <c r="AW27" s="79"/>
      <c r="AX27" s="8"/>
      <c r="AY27" s="52">
        <f t="shared" si="4"/>
        <v>0</v>
      </c>
      <c r="AZ27" s="52">
        <f t="shared" si="5"/>
        <v>0</v>
      </c>
      <c r="BA27" s="52">
        <f t="shared" si="6"/>
        <v>0</v>
      </c>
      <c r="BB27" s="52">
        <f t="shared" si="7"/>
        <v>0</v>
      </c>
      <c r="BC27" s="52">
        <f t="shared" si="8"/>
        <v>0</v>
      </c>
      <c r="BD27" s="52">
        <f t="shared" si="8"/>
        <v>0</v>
      </c>
      <c r="BE27" s="52">
        <f t="shared" si="8"/>
        <v>0</v>
      </c>
      <c r="BF27" s="52">
        <f t="shared" si="9"/>
        <v>0</v>
      </c>
      <c r="BG27" s="52">
        <f t="shared" si="10"/>
        <v>0</v>
      </c>
      <c r="BH27" s="52">
        <f t="shared" si="67"/>
        <v>0</v>
      </c>
      <c r="BI27" s="10"/>
      <c r="BJ27" s="10"/>
      <c r="BK27" s="10"/>
      <c r="BL27" s="10"/>
      <c r="BM27" s="10"/>
      <c r="BN27" s="113" t="e">
        <f>AR27/VLOOKUP(AP27,References!$A$3:$C$53,2,FALSE)</f>
        <v>#N/A</v>
      </c>
      <c r="BO27" s="113">
        <f t="shared" si="68"/>
        <v>0</v>
      </c>
      <c r="BP27" s="113">
        <f t="shared" si="11"/>
        <v>0</v>
      </c>
      <c r="BQ27" s="113">
        <f>((R27*(VLOOKUP(Q27,References!$A$57:$D$110,2,FALSE))%)+(S27*(VLOOKUP(Q27,References!$A$57:$D$110,2,FALSE))%)*(CW27+DA27+DM27))</f>
        <v>0</v>
      </c>
      <c r="BR27" s="113">
        <f>((R27*(VLOOKUP(Q27,References!$A$57:$D$110,3,FALSE))%)+(S27*(VLOOKUP(Q27,References!$A$57:$D$110,3,FALSE))%)*(CW27+DA27+DM27))</f>
        <v>0</v>
      </c>
      <c r="BS27" s="113">
        <f>((R27*(VLOOKUP(Q27,References!$A$57:$D$110,4,FALSE))%)+(S27*(VLOOKUP(Q27,References!$A$57:$D$110,4,FALSE))%)*(CW27+DA27+DM27))</f>
        <v>0</v>
      </c>
      <c r="BT27" s="10">
        <f>((((R27+S27)/100)*VLOOKUP(Q27,References!$A$58:$M$110,13,FALSE))*(CW27+DA27+DM27))</f>
        <v>0</v>
      </c>
      <c r="BU27" s="10" t="e">
        <f>(AR27/1000)*VLOOKUP(AP27,References!$A$4:$P$54,11,FALSE)</f>
        <v>#N/A</v>
      </c>
      <c r="BV27" s="10" t="e">
        <f>(AR27/1000)*VLOOKUP(AP27,References!$A$4:$P$54,12,FALSE)</f>
        <v>#N/A</v>
      </c>
      <c r="BW27" s="10" t="e">
        <f>(AR27/1000)*VLOOKUP(AP27,References!$A$4:$P$54,13,FALSE)</f>
        <v>#N/A</v>
      </c>
      <c r="BX27" s="113">
        <f t="shared" si="69"/>
        <v>0</v>
      </c>
      <c r="BY27" s="113">
        <f t="shared" si="69"/>
        <v>0</v>
      </c>
      <c r="BZ27" s="113">
        <f t="shared" si="69"/>
        <v>0</v>
      </c>
      <c r="CA27" s="113">
        <f t="shared" si="13"/>
        <v>0</v>
      </c>
      <c r="CB27" s="113">
        <f t="shared" si="14"/>
        <v>0</v>
      </c>
      <c r="CC27" s="113">
        <f t="shared" si="15"/>
        <v>0</v>
      </c>
      <c r="CD27" s="113">
        <f t="shared" si="16"/>
        <v>0</v>
      </c>
      <c r="CE27" s="113">
        <f t="shared" si="17"/>
        <v>0</v>
      </c>
      <c r="CF27" s="113">
        <f t="shared" si="18"/>
        <v>0</v>
      </c>
      <c r="CG27" s="113"/>
      <c r="CH27" s="113"/>
      <c r="CI27" s="113"/>
      <c r="CJ27" s="113"/>
      <c r="CK27" s="113"/>
      <c r="CL27" s="113"/>
      <c r="CM27" s="113">
        <f t="shared" si="19"/>
        <v>0</v>
      </c>
      <c r="CN27" s="113" t="e">
        <f>R27*VLOOKUP(Q27,References!$A$86:$E$158,2,FALSE)+S27*VLOOKUP(Q27,References!$A$86:$E$158,2,FALSE)</f>
        <v>#N/A</v>
      </c>
      <c r="CO27" s="113" t="e">
        <f>((VLOOKUP(Q27,References!$A$86:$E$158,3,FALSE)-(CN27/C$7))/(VLOOKUP(Q27,References!$A$86:$E$158,3,FALSE)))</f>
        <v>#N/A</v>
      </c>
      <c r="CP27" s="101" t="e">
        <f t="shared" si="70"/>
        <v>#N/A</v>
      </c>
      <c r="CQ27" s="113">
        <f t="shared" si="71"/>
        <v>0</v>
      </c>
      <c r="CR27" s="113">
        <f t="shared" si="20"/>
        <v>0</v>
      </c>
      <c r="CS27" s="113">
        <f t="shared" si="20"/>
        <v>0</v>
      </c>
      <c r="CT27" s="113"/>
      <c r="CU27" s="10"/>
      <c r="CV27" s="10"/>
      <c r="CW27" s="52">
        <f t="shared" si="72"/>
        <v>0</v>
      </c>
      <c r="CX27" s="52">
        <f t="shared" si="21"/>
        <v>0</v>
      </c>
      <c r="CY27" s="52">
        <f t="shared" si="22"/>
        <v>0</v>
      </c>
      <c r="CZ27" s="52">
        <f t="shared" si="23"/>
        <v>0</v>
      </c>
      <c r="DA27" s="52">
        <f t="shared" si="73"/>
        <v>0</v>
      </c>
      <c r="DB27" s="52">
        <f t="shared" si="24"/>
        <v>0</v>
      </c>
      <c r="DC27" s="52">
        <f t="shared" si="25"/>
        <v>0</v>
      </c>
      <c r="DD27" s="52">
        <f t="shared" si="26"/>
        <v>0</v>
      </c>
      <c r="DE27" s="52">
        <f t="shared" si="74"/>
        <v>0</v>
      </c>
      <c r="DF27" s="52">
        <f t="shared" si="27"/>
        <v>0</v>
      </c>
      <c r="DG27" s="52">
        <f t="shared" si="28"/>
        <v>0</v>
      </c>
      <c r="DH27" s="52">
        <f t="shared" si="29"/>
        <v>0</v>
      </c>
      <c r="DI27" s="52">
        <f t="shared" si="75"/>
        <v>0</v>
      </c>
      <c r="DJ27" s="52">
        <f t="shared" si="30"/>
        <v>0</v>
      </c>
      <c r="DK27" s="52">
        <f t="shared" si="31"/>
        <v>0</v>
      </c>
      <c r="DL27" s="52">
        <f t="shared" si="32"/>
        <v>0</v>
      </c>
      <c r="DM27" s="52">
        <f t="shared" si="76"/>
        <v>0</v>
      </c>
      <c r="DN27" s="52">
        <f t="shared" si="33"/>
        <v>0</v>
      </c>
      <c r="DO27" s="52">
        <f t="shared" si="34"/>
        <v>0</v>
      </c>
      <c r="DP27" s="52">
        <f t="shared" si="35"/>
        <v>0</v>
      </c>
      <c r="DQ27" s="52">
        <f t="shared" si="77"/>
        <v>0</v>
      </c>
      <c r="DR27" s="52">
        <f t="shared" si="36"/>
        <v>0</v>
      </c>
      <c r="DS27" s="52">
        <f t="shared" si="37"/>
        <v>0</v>
      </c>
      <c r="DT27" s="52">
        <f t="shared" si="38"/>
        <v>0</v>
      </c>
      <c r="DU27" s="52">
        <f t="shared" si="78"/>
        <v>0</v>
      </c>
      <c r="DV27" s="52">
        <f t="shared" si="39"/>
        <v>0</v>
      </c>
      <c r="DW27" s="52">
        <f t="shared" si="40"/>
        <v>0</v>
      </c>
      <c r="DX27" s="52">
        <f t="shared" si="41"/>
        <v>0</v>
      </c>
      <c r="DY27" s="52">
        <f t="shared" si="79"/>
        <v>0</v>
      </c>
      <c r="DZ27" s="52">
        <f t="shared" si="42"/>
        <v>0</v>
      </c>
      <c r="EA27" s="52">
        <f t="shared" si="43"/>
        <v>0</v>
      </c>
      <c r="EB27" s="52">
        <f t="shared" si="44"/>
        <v>0</v>
      </c>
      <c r="EC27" s="52">
        <f t="shared" si="80"/>
        <v>1</v>
      </c>
      <c r="ED27" s="52">
        <f t="shared" si="45"/>
        <v>0</v>
      </c>
      <c r="EE27" s="52">
        <f t="shared" si="46"/>
        <v>0</v>
      </c>
      <c r="EF27" s="52">
        <f t="shared" si="47"/>
        <v>0</v>
      </c>
      <c r="EG27" s="52">
        <f t="shared" si="81"/>
        <v>0</v>
      </c>
      <c r="EH27" s="52">
        <f t="shared" si="48"/>
        <v>0</v>
      </c>
      <c r="EI27" s="52">
        <f t="shared" si="49"/>
        <v>0</v>
      </c>
      <c r="EJ27" s="52">
        <f t="shared" si="50"/>
        <v>0</v>
      </c>
      <c r="EK27" s="52">
        <f t="shared" si="82"/>
        <v>1</v>
      </c>
      <c r="EL27" s="52">
        <f t="shared" si="51"/>
        <v>0</v>
      </c>
      <c r="EM27" s="52"/>
      <c r="EN27" s="64">
        <f t="shared" si="83"/>
        <v>1</v>
      </c>
      <c r="EO27" s="64">
        <f t="shared" si="84"/>
        <v>0</v>
      </c>
      <c r="EP27" s="64" t="str">
        <f t="shared" si="86"/>
        <v>1</v>
      </c>
      <c r="EQ27" s="64" t="str">
        <f t="shared" si="85"/>
        <v>0</v>
      </c>
    </row>
    <row r="28" spans="1:147" s="60" customFormat="1" x14ac:dyDescent="0.25">
      <c r="A28" s="59"/>
      <c r="B28" s="55"/>
      <c r="C28" s="56"/>
      <c r="D28" s="57" t="s">
        <v>8</v>
      </c>
      <c r="E28" s="57" t="s">
        <v>38</v>
      </c>
      <c r="F28" s="57" t="s">
        <v>31</v>
      </c>
      <c r="G28" s="57" t="s">
        <v>1</v>
      </c>
      <c r="H28" s="58"/>
      <c r="I28" s="59"/>
      <c r="J28" s="59"/>
      <c r="K28" s="59"/>
      <c r="L28" s="59"/>
      <c r="M28" s="19">
        <f t="shared" si="52"/>
        <v>0</v>
      </c>
      <c r="N28" s="19">
        <f t="shared" si="0"/>
        <v>0</v>
      </c>
      <c r="O28" s="56"/>
      <c r="P28" s="56" t="s">
        <v>120</v>
      </c>
      <c r="Q28" s="56" t="s">
        <v>212</v>
      </c>
      <c r="R28" s="56"/>
      <c r="U28" s="4">
        <f t="shared" si="53"/>
        <v>0</v>
      </c>
      <c r="AB28" s="5">
        <f t="shared" si="54"/>
        <v>0</v>
      </c>
      <c r="AC28" s="5">
        <f t="shared" si="55"/>
        <v>0</v>
      </c>
      <c r="AD28" s="5">
        <f t="shared" si="1"/>
        <v>0</v>
      </c>
      <c r="AE28" s="43">
        <f t="shared" si="2"/>
        <v>0</v>
      </c>
      <c r="AF28" s="3">
        <f t="shared" si="56"/>
        <v>0</v>
      </c>
      <c r="AG28" s="3">
        <f t="shared" si="57"/>
        <v>0</v>
      </c>
      <c r="AH28" s="3">
        <f t="shared" si="58"/>
        <v>0</v>
      </c>
      <c r="AI28" s="3">
        <f t="shared" si="59"/>
        <v>0</v>
      </c>
      <c r="AJ28" s="3">
        <f t="shared" si="60"/>
        <v>0</v>
      </c>
      <c r="AK28" s="3">
        <f t="shared" si="61"/>
        <v>0</v>
      </c>
      <c r="AL28" s="3">
        <f t="shared" si="62"/>
        <v>0</v>
      </c>
      <c r="AM28" s="3">
        <f t="shared" si="63"/>
        <v>0</v>
      </c>
      <c r="AN28" s="3">
        <f t="shared" si="64"/>
        <v>0</v>
      </c>
      <c r="AO28" s="54">
        <f t="shared" si="65"/>
        <v>0</v>
      </c>
      <c r="AQ28" s="57" t="s">
        <v>42</v>
      </c>
      <c r="AU28" s="104">
        <f t="shared" si="66"/>
        <v>0</v>
      </c>
      <c r="AV28" s="104">
        <f t="shared" si="3"/>
        <v>0</v>
      </c>
      <c r="AW28" s="79"/>
      <c r="AX28" s="8"/>
      <c r="AY28" s="52">
        <f t="shared" si="4"/>
        <v>0</v>
      </c>
      <c r="AZ28" s="52">
        <f t="shared" si="5"/>
        <v>0</v>
      </c>
      <c r="BA28" s="52">
        <f t="shared" si="6"/>
        <v>0</v>
      </c>
      <c r="BB28" s="52">
        <f t="shared" si="7"/>
        <v>0</v>
      </c>
      <c r="BC28" s="52">
        <f t="shared" si="8"/>
        <v>0</v>
      </c>
      <c r="BD28" s="52">
        <f t="shared" si="8"/>
        <v>0</v>
      </c>
      <c r="BE28" s="52">
        <f t="shared" si="8"/>
        <v>0</v>
      </c>
      <c r="BF28" s="52">
        <f t="shared" si="9"/>
        <v>0</v>
      </c>
      <c r="BG28" s="52">
        <f t="shared" si="10"/>
        <v>0</v>
      </c>
      <c r="BH28" s="52">
        <f t="shared" si="67"/>
        <v>0</v>
      </c>
      <c r="BI28" s="10"/>
      <c r="BJ28" s="10"/>
      <c r="BK28" s="10"/>
      <c r="BL28" s="10"/>
      <c r="BM28" s="10"/>
      <c r="BN28" s="113" t="e">
        <f>AR28/VLOOKUP(AP28,References!$A$3:$C$53,2,FALSE)</f>
        <v>#N/A</v>
      </c>
      <c r="BO28" s="113">
        <f t="shared" si="68"/>
        <v>0</v>
      </c>
      <c r="BP28" s="113">
        <f t="shared" si="11"/>
        <v>0</v>
      </c>
      <c r="BQ28" s="113">
        <f>((R28*(VLOOKUP(Q28,References!$A$57:$D$110,2,FALSE))%)+(S28*(VLOOKUP(Q28,References!$A$57:$D$110,2,FALSE))%)*(CW28+DA28+DM28))</f>
        <v>0</v>
      </c>
      <c r="BR28" s="113">
        <f>((R28*(VLOOKUP(Q28,References!$A$57:$D$110,3,FALSE))%)+(S28*(VLOOKUP(Q28,References!$A$57:$D$110,3,FALSE))%)*(CW28+DA28+DM28))</f>
        <v>0</v>
      </c>
      <c r="BS28" s="113">
        <f>((R28*(VLOOKUP(Q28,References!$A$57:$D$110,4,FALSE))%)+(S28*(VLOOKUP(Q28,References!$A$57:$D$110,4,FALSE))%)*(CW28+DA28+DM28))</f>
        <v>0</v>
      </c>
      <c r="BT28" s="10">
        <f>((((R28+S28)/100)*VLOOKUP(Q28,References!$A$58:$M$110,13,FALSE))*(CW28+DA28+DM28))</f>
        <v>0</v>
      </c>
      <c r="BU28" s="10" t="e">
        <f>(AR28/1000)*VLOOKUP(AP28,References!$A$4:$P$54,11,FALSE)</f>
        <v>#N/A</v>
      </c>
      <c r="BV28" s="10" t="e">
        <f>(AR28/1000)*VLOOKUP(AP28,References!$A$4:$P$54,12,FALSE)</f>
        <v>#N/A</v>
      </c>
      <c r="BW28" s="10" t="e">
        <f>(AR28/1000)*VLOOKUP(AP28,References!$A$4:$P$54,13,FALSE)</f>
        <v>#N/A</v>
      </c>
      <c r="BX28" s="113">
        <f t="shared" si="69"/>
        <v>0</v>
      </c>
      <c r="BY28" s="113">
        <f t="shared" si="69"/>
        <v>0</v>
      </c>
      <c r="BZ28" s="113">
        <f t="shared" si="69"/>
        <v>0</v>
      </c>
      <c r="CA28" s="113">
        <f t="shared" si="13"/>
        <v>0</v>
      </c>
      <c r="CB28" s="113">
        <f t="shared" si="14"/>
        <v>0</v>
      </c>
      <c r="CC28" s="113">
        <f t="shared" si="15"/>
        <v>0</v>
      </c>
      <c r="CD28" s="113">
        <f t="shared" si="16"/>
        <v>0</v>
      </c>
      <c r="CE28" s="113">
        <f t="shared" si="17"/>
        <v>0</v>
      </c>
      <c r="CF28" s="113">
        <f t="shared" si="18"/>
        <v>0</v>
      </c>
      <c r="CG28" s="113"/>
      <c r="CH28" s="113"/>
      <c r="CI28" s="113"/>
      <c r="CJ28" s="113"/>
      <c r="CK28" s="113"/>
      <c r="CL28" s="113"/>
      <c r="CM28" s="113">
        <f t="shared" si="19"/>
        <v>0</v>
      </c>
      <c r="CN28" s="113" t="e">
        <f>R28*VLOOKUP(Q28,References!$A$86:$E$158,2,FALSE)+S28*VLOOKUP(Q28,References!$A$86:$E$158,2,FALSE)</f>
        <v>#N/A</v>
      </c>
      <c r="CO28" s="113" t="e">
        <f>((VLOOKUP(Q28,References!$A$86:$E$158,3,FALSE)-(CN28/C$7))/(VLOOKUP(Q28,References!$A$86:$E$158,3,FALSE)))</f>
        <v>#N/A</v>
      </c>
      <c r="CP28" s="101" t="e">
        <f t="shared" si="70"/>
        <v>#N/A</v>
      </c>
      <c r="CQ28" s="113">
        <f t="shared" si="71"/>
        <v>0</v>
      </c>
      <c r="CR28" s="113">
        <f t="shared" si="20"/>
        <v>0</v>
      </c>
      <c r="CS28" s="113">
        <f t="shared" si="20"/>
        <v>0</v>
      </c>
      <c r="CT28" s="113"/>
      <c r="CU28" s="10"/>
      <c r="CV28" s="10"/>
      <c r="CW28" s="52">
        <f t="shared" si="72"/>
        <v>0</v>
      </c>
      <c r="CX28" s="52">
        <f t="shared" si="21"/>
        <v>0</v>
      </c>
      <c r="CY28" s="52">
        <f t="shared" si="22"/>
        <v>0</v>
      </c>
      <c r="CZ28" s="52">
        <f t="shared" si="23"/>
        <v>0</v>
      </c>
      <c r="DA28" s="52">
        <f t="shared" si="73"/>
        <v>0</v>
      </c>
      <c r="DB28" s="52">
        <f t="shared" si="24"/>
        <v>0</v>
      </c>
      <c r="DC28" s="52">
        <f t="shared" si="25"/>
        <v>0</v>
      </c>
      <c r="DD28" s="52">
        <f t="shared" si="26"/>
        <v>0</v>
      </c>
      <c r="DE28" s="52">
        <f t="shared" si="74"/>
        <v>0</v>
      </c>
      <c r="DF28" s="52">
        <f t="shared" si="27"/>
        <v>0</v>
      </c>
      <c r="DG28" s="52">
        <f t="shared" si="28"/>
        <v>0</v>
      </c>
      <c r="DH28" s="52">
        <f t="shared" si="29"/>
        <v>0</v>
      </c>
      <c r="DI28" s="52">
        <f t="shared" si="75"/>
        <v>0</v>
      </c>
      <c r="DJ28" s="52">
        <f t="shared" si="30"/>
        <v>0</v>
      </c>
      <c r="DK28" s="52">
        <f t="shared" si="31"/>
        <v>0</v>
      </c>
      <c r="DL28" s="52">
        <f t="shared" si="32"/>
        <v>0</v>
      </c>
      <c r="DM28" s="52">
        <f t="shared" si="76"/>
        <v>0</v>
      </c>
      <c r="DN28" s="52">
        <f t="shared" si="33"/>
        <v>0</v>
      </c>
      <c r="DO28" s="52">
        <f t="shared" si="34"/>
        <v>0</v>
      </c>
      <c r="DP28" s="52">
        <f t="shared" si="35"/>
        <v>0</v>
      </c>
      <c r="DQ28" s="52">
        <f t="shared" si="77"/>
        <v>0</v>
      </c>
      <c r="DR28" s="52">
        <f t="shared" si="36"/>
        <v>0</v>
      </c>
      <c r="DS28" s="52">
        <f t="shared" si="37"/>
        <v>0</v>
      </c>
      <c r="DT28" s="52">
        <f t="shared" si="38"/>
        <v>0</v>
      </c>
      <c r="DU28" s="52">
        <f t="shared" si="78"/>
        <v>0</v>
      </c>
      <c r="DV28" s="52">
        <f t="shared" si="39"/>
        <v>0</v>
      </c>
      <c r="DW28" s="52">
        <f t="shared" si="40"/>
        <v>0</v>
      </c>
      <c r="DX28" s="52">
        <f t="shared" si="41"/>
        <v>0</v>
      </c>
      <c r="DY28" s="52">
        <f t="shared" si="79"/>
        <v>1</v>
      </c>
      <c r="DZ28" s="52">
        <f t="shared" si="42"/>
        <v>0</v>
      </c>
      <c r="EA28" s="52">
        <f t="shared" si="43"/>
        <v>0</v>
      </c>
      <c r="EB28" s="52">
        <f t="shared" si="44"/>
        <v>0</v>
      </c>
      <c r="EC28" s="52">
        <f t="shared" si="80"/>
        <v>0</v>
      </c>
      <c r="ED28" s="52">
        <f t="shared" si="45"/>
        <v>0</v>
      </c>
      <c r="EE28" s="52">
        <f t="shared" si="46"/>
        <v>0</v>
      </c>
      <c r="EF28" s="52">
        <f t="shared" si="47"/>
        <v>0</v>
      </c>
      <c r="EG28" s="52">
        <f t="shared" si="81"/>
        <v>0</v>
      </c>
      <c r="EH28" s="52">
        <f t="shared" si="48"/>
        <v>0</v>
      </c>
      <c r="EI28" s="52">
        <f t="shared" si="49"/>
        <v>0</v>
      </c>
      <c r="EJ28" s="52">
        <f t="shared" si="50"/>
        <v>0</v>
      </c>
      <c r="EK28" s="52">
        <f t="shared" si="82"/>
        <v>1</v>
      </c>
      <c r="EL28" s="52">
        <f t="shared" si="51"/>
        <v>0</v>
      </c>
      <c r="EM28" s="52"/>
      <c r="EN28" s="64">
        <f t="shared" si="83"/>
        <v>1</v>
      </c>
      <c r="EO28" s="64">
        <f t="shared" si="84"/>
        <v>0</v>
      </c>
      <c r="EP28" s="64" t="str">
        <f t="shared" si="86"/>
        <v>1</v>
      </c>
      <c r="EQ28" s="64" t="str">
        <f t="shared" si="85"/>
        <v>0</v>
      </c>
    </row>
    <row r="29" spans="1:147" s="60" customFormat="1" x14ac:dyDescent="0.25">
      <c r="A29" s="59"/>
      <c r="B29" s="55"/>
      <c r="C29" s="56"/>
      <c r="D29" s="57" t="s">
        <v>9</v>
      </c>
      <c r="E29" s="57" t="s">
        <v>13</v>
      </c>
      <c r="F29" s="57" t="s">
        <v>32</v>
      </c>
      <c r="G29" s="57" t="s">
        <v>1</v>
      </c>
      <c r="H29" s="58"/>
      <c r="I29" s="59"/>
      <c r="J29" s="59"/>
      <c r="K29" s="59"/>
      <c r="L29" s="59"/>
      <c r="M29" s="19">
        <f t="shared" si="52"/>
        <v>0</v>
      </c>
      <c r="N29" s="19">
        <f t="shared" si="0"/>
        <v>0</v>
      </c>
      <c r="O29" s="56"/>
      <c r="P29" s="56" t="s">
        <v>120</v>
      </c>
      <c r="Q29" s="56" t="s">
        <v>212</v>
      </c>
      <c r="R29" s="56"/>
      <c r="U29" s="4">
        <f t="shared" si="53"/>
        <v>0</v>
      </c>
      <c r="AB29" s="5">
        <f t="shared" si="54"/>
        <v>0</v>
      </c>
      <c r="AC29" s="5">
        <f t="shared" si="55"/>
        <v>0</v>
      </c>
      <c r="AD29" s="5">
        <f t="shared" si="1"/>
        <v>0</v>
      </c>
      <c r="AE29" s="43">
        <f t="shared" si="2"/>
        <v>0</v>
      </c>
      <c r="AF29" s="3">
        <f t="shared" si="56"/>
        <v>0</v>
      </c>
      <c r="AG29" s="3">
        <f t="shared" si="57"/>
        <v>0</v>
      </c>
      <c r="AH29" s="3">
        <f t="shared" si="58"/>
        <v>0</v>
      </c>
      <c r="AI29" s="3">
        <f t="shared" si="59"/>
        <v>0</v>
      </c>
      <c r="AJ29" s="3">
        <f t="shared" si="60"/>
        <v>0</v>
      </c>
      <c r="AK29" s="3">
        <f t="shared" si="61"/>
        <v>0</v>
      </c>
      <c r="AL29" s="3">
        <f t="shared" si="62"/>
        <v>0</v>
      </c>
      <c r="AM29" s="3">
        <f t="shared" si="63"/>
        <v>0</v>
      </c>
      <c r="AN29" s="3">
        <f t="shared" si="64"/>
        <v>0</v>
      </c>
      <c r="AO29" s="54">
        <f t="shared" si="65"/>
        <v>0</v>
      </c>
      <c r="AQ29" s="57" t="s">
        <v>42</v>
      </c>
      <c r="AU29" s="104">
        <f t="shared" si="66"/>
        <v>0</v>
      </c>
      <c r="AV29" s="104">
        <f t="shared" si="3"/>
        <v>0</v>
      </c>
      <c r="AW29" s="79"/>
      <c r="AX29" s="8"/>
      <c r="AY29" s="52">
        <f t="shared" si="4"/>
        <v>0</v>
      </c>
      <c r="AZ29" s="52">
        <f t="shared" si="5"/>
        <v>0</v>
      </c>
      <c r="BA29" s="52">
        <f t="shared" si="6"/>
        <v>0</v>
      </c>
      <c r="BB29" s="52">
        <f t="shared" si="7"/>
        <v>0</v>
      </c>
      <c r="BC29" s="52">
        <f t="shared" si="8"/>
        <v>0</v>
      </c>
      <c r="BD29" s="52">
        <f t="shared" si="8"/>
        <v>0</v>
      </c>
      <c r="BE29" s="52">
        <f t="shared" si="8"/>
        <v>0</v>
      </c>
      <c r="BF29" s="52">
        <f t="shared" si="9"/>
        <v>0</v>
      </c>
      <c r="BG29" s="52">
        <f t="shared" si="10"/>
        <v>0</v>
      </c>
      <c r="BH29" s="52">
        <f t="shared" si="67"/>
        <v>0</v>
      </c>
      <c r="BI29" s="10"/>
      <c r="BJ29" s="10"/>
      <c r="BK29" s="10"/>
      <c r="BL29" s="10"/>
      <c r="BM29" s="10"/>
      <c r="BN29" s="113" t="e">
        <f>AR29/VLOOKUP(AP29,References!$A$3:$C$53,2,FALSE)</f>
        <v>#N/A</v>
      </c>
      <c r="BO29" s="113">
        <f t="shared" si="68"/>
        <v>0</v>
      </c>
      <c r="BP29" s="113">
        <f t="shared" si="11"/>
        <v>0</v>
      </c>
      <c r="BQ29" s="113">
        <f>((R29*(VLOOKUP(Q29,References!$A$57:$D$110,2,FALSE))%)+(S29*(VLOOKUP(Q29,References!$A$57:$D$110,2,FALSE))%)*(CW29+DA29+DM29))</f>
        <v>0</v>
      </c>
      <c r="BR29" s="113">
        <f>((R29*(VLOOKUP(Q29,References!$A$57:$D$110,3,FALSE))%)+(S29*(VLOOKUP(Q29,References!$A$57:$D$110,3,FALSE))%)*(CW29+DA29+DM29))</f>
        <v>0</v>
      </c>
      <c r="BS29" s="113">
        <f>((R29*(VLOOKUP(Q29,References!$A$57:$D$110,4,FALSE))%)+(S29*(VLOOKUP(Q29,References!$A$57:$D$110,4,FALSE))%)*(CW29+DA29+DM29))</f>
        <v>0</v>
      </c>
      <c r="BT29" s="10">
        <f>((((R29+S29)/100)*VLOOKUP(Q29,References!$A$58:$M$110,13,FALSE))*(CW29+DA29+DM29))</f>
        <v>0</v>
      </c>
      <c r="BU29" s="10" t="e">
        <f>(AR29/1000)*VLOOKUP(AP29,References!$A$4:$P$54,11,FALSE)</f>
        <v>#N/A</v>
      </c>
      <c r="BV29" s="10" t="e">
        <f>(AR29/1000)*VLOOKUP(AP29,References!$A$4:$P$54,12,FALSE)</f>
        <v>#N/A</v>
      </c>
      <c r="BW29" s="10" t="e">
        <f>(AR29/1000)*VLOOKUP(AP29,References!$A$4:$P$54,13,FALSE)</f>
        <v>#N/A</v>
      </c>
      <c r="BX29" s="113">
        <f t="shared" si="69"/>
        <v>0</v>
      </c>
      <c r="BY29" s="113">
        <f t="shared" si="69"/>
        <v>0</v>
      </c>
      <c r="BZ29" s="113">
        <f t="shared" si="69"/>
        <v>0</v>
      </c>
      <c r="CA29" s="113">
        <f t="shared" si="13"/>
        <v>0</v>
      </c>
      <c r="CB29" s="113">
        <f t="shared" si="14"/>
        <v>0</v>
      </c>
      <c r="CC29" s="113">
        <f t="shared" si="15"/>
        <v>0</v>
      </c>
      <c r="CD29" s="113">
        <f t="shared" si="16"/>
        <v>0</v>
      </c>
      <c r="CE29" s="113">
        <f t="shared" si="17"/>
        <v>0</v>
      </c>
      <c r="CF29" s="113">
        <f t="shared" si="18"/>
        <v>0</v>
      </c>
      <c r="CG29" s="113"/>
      <c r="CH29" s="113"/>
      <c r="CI29" s="113"/>
      <c r="CJ29" s="113"/>
      <c r="CK29" s="113"/>
      <c r="CL29" s="113"/>
      <c r="CM29" s="113">
        <f t="shared" si="19"/>
        <v>0</v>
      </c>
      <c r="CN29" s="113" t="e">
        <f>R29*VLOOKUP(Q29,References!$A$86:$E$158,2,FALSE)+S29*VLOOKUP(Q29,References!$A$86:$E$158,2,FALSE)</f>
        <v>#N/A</v>
      </c>
      <c r="CO29" s="113" t="e">
        <f>((VLOOKUP(Q29,References!$A$86:$E$158,3,FALSE)-(CN29/C$7))/(VLOOKUP(Q29,References!$A$86:$E$158,3,FALSE)))</f>
        <v>#N/A</v>
      </c>
      <c r="CP29" s="101" t="e">
        <f t="shared" si="70"/>
        <v>#N/A</v>
      </c>
      <c r="CQ29" s="113">
        <f t="shared" si="71"/>
        <v>0</v>
      </c>
      <c r="CR29" s="113">
        <f t="shared" si="20"/>
        <v>0</v>
      </c>
      <c r="CS29" s="113">
        <f t="shared" si="20"/>
        <v>0</v>
      </c>
      <c r="CT29" s="113"/>
      <c r="CU29" s="10"/>
      <c r="CV29" s="10"/>
      <c r="CW29" s="52">
        <f t="shared" si="72"/>
        <v>0</v>
      </c>
      <c r="CX29" s="52">
        <f t="shared" si="21"/>
        <v>0</v>
      </c>
      <c r="CY29" s="52">
        <f t="shared" si="22"/>
        <v>0</v>
      </c>
      <c r="CZ29" s="52">
        <f t="shared" si="23"/>
        <v>0</v>
      </c>
      <c r="DA29" s="52">
        <f t="shared" si="73"/>
        <v>0</v>
      </c>
      <c r="DB29" s="52">
        <f t="shared" si="24"/>
        <v>0</v>
      </c>
      <c r="DC29" s="52">
        <f t="shared" si="25"/>
        <v>0</v>
      </c>
      <c r="DD29" s="52">
        <f t="shared" si="26"/>
        <v>0</v>
      </c>
      <c r="DE29" s="52">
        <f t="shared" si="74"/>
        <v>0</v>
      </c>
      <c r="DF29" s="52">
        <f t="shared" si="27"/>
        <v>0</v>
      </c>
      <c r="DG29" s="52">
        <f t="shared" si="28"/>
        <v>0</v>
      </c>
      <c r="DH29" s="52">
        <f t="shared" si="29"/>
        <v>0</v>
      </c>
      <c r="DI29" s="52">
        <f t="shared" si="75"/>
        <v>0</v>
      </c>
      <c r="DJ29" s="52">
        <f t="shared" si="30"/>
        <v>0</v>
      </c>
      <c r="DK29" s="52">
        <f t="shared" si="31"/>
        <v>0</v>
      </c>
      <c r="DL29" s="52">
        <f t="shared" si="32"/>
        <v>0</v>
      </c>
      <c r="DM29" s="52">
        <f t="shared" si="76"/>
        <v>0</v>
      </c>
      <c r="DN29" s="52">
        <f t="shared" si="33"/>
        <v>0</v>
      </c>
      <c r="DO29" s="52">
        <f t="shared" si="34"/>
        <v>0</v>
      </c>
      <c r="DP29" s="52">
        <f t="shared" si="35"/>
        <v>0</v>
      </c>
      <c r="DQ29" s="52">
        <f t="shared" si="77"/>
        <v>0</v>
      </c>
      <c r="DR29" s="52">
        <f t="shared" si="36"/>
        <v>0</v>
      </c>
      <c r="DS29" s="52">
        <f t="shared" si="37"/>
        <v>0</v>
      </c>
      <c r="DT29" s="52">
        <f t="shared" si="38"/>
        <v>0</v>
      </c>
      <c r="DU29" s="52">
        <f t="shared" si="78"/>
        <v>0</v>
      </c>
      <c r="DV29" s="52">
        <f t="shared" si="39"/>
        <v>0</v>
      </c>
      <c r="DW29" s="52">
        <f t="shared" si="40"/>
        <v>0</v>
      </c>
      <c r="DX29" s="52">
        <f t="shared" si="41"/>
        <v>0</v>
      </c>
      <c r="DY29" s="52">
        <f t="shared" si="79"/>
        <v>0</v>
      </c>
      <c r="DZ29" s="52">
        <f t="shared" si="42"/>
        <v>0</v>
      </c>
      <c r="EA29" s="52">
        <f t="shared" si="43"/>
        <v>0</v>
      </c>
      <c r="EB29" s="52">
        <f t="shared" si="44"/>
        <v>0</v>
      </c>
      <c r="EC29" s="52">
        <f t="shared" si="80"/>
        <v>1</v>
      </c>
      <c r="ED29" s="52">
        <f t="shared" si="45"/>
        <v>0</v>
      </c>
      <c r="EE29" s="52">
        <f t="shared" si="46"/>
        <v>0</v>
      </c>
      <c r="EF29" s="52">
        <f t="shared" si="47"/>
        <v>0</v>
      </c>
      <c r="EG29" s="52">
        <f t="shared" si="81"/>
        <v>0</v>
      </c>
      <c r="EH29" s="52">
        <f t="shared" si="48"/>
        <v>0</v>
      </c>
      <c r="EI29" s="52">
        <f t="shared" si="49"/>
        <v>0</v>
      </c>
      <c r="EJ29" s="52">
        <f t="shared" si="50"/>
        <v>0</v>
      </c>
      <c r="EK29" s="52">
        <f t="shared" si="82"/>
        <v>1</v>
      </c>
      <c r="EL29" s="52">
        <f t="shared" si="51"/>
        <v>0</v>
      </c>
      <c r="EM29" s="52"/>
      <c r="EN29" s="64">
        <f t="shared" si="83"/>
        <v>0</v>
      </c>
      <c r="EO29" s="64">
        <f t="shared" si="84"/>
        <v>1</v>
      </c>
      <c r="EP29" s="64" t="str">
        <f t="shared" si="86"/>
        <v>1</v>
      </c>
      <c r="EQ29" s="64" t="str">
        <f t="shared" si="85"/>
        <v>0</v>
      </c>
    </row>
    <row r="30" spans="1:147" s="60" customFormat="1" x14ac:dyDescent="0.25">
      <c r="A30" s="59"/>
      <c r="B30" s="55"/>
      <c r="C30" s="56"/>
      <c r="D30" s="57" t="s">
        <v>9</v>
      </c>
      <c r="E30" s="57" t="s">
        <v>13</v>
      </c>
      <c r="F30" s="57" t="s">
        <v>66</v>
      </c>
      <c r="G30" s="57" t="s">
        <v>1</v>
      </c>
      <c r="H30" s="58"/>
      <c r="I30" s="59"/>
      <c r="J30" s="59"/>
      <c r="K30" s="59"/>
      <c r="L30" s="59"/>
      <c r="M30" s="19">
        <f t="shared" si="52"/>
        <v>0</v>
      </c>
      <c r="N30" s="19">
        <f t="shared" si="0"/>
        <v>0</v>
      </c>
      <c r="O30" s="56"/>
      <c r="P30" s="56" t="s">
        <v>120</v>
      </c>
      <c r="Q30" s="56" t="s">
        <v>212</v>
      </c>
      <c r="R30" s="56"/>
      <c r="U30" s="4">
        <f t="shared" si="53"/>
        <v>0</v>
      </c>
      <c r="AB30" s="5">
        <f t="shared" si="54"/>
        <v>0</v>
      </c>
      <c r="AC30" s="5">
        <f t="shared" si="55"/>
        <v>0</v>
      </c>
      <c r="AD30" s="5">
        <f t="shared" si="1"/>
        <v>0</v>
      </c>
      <c r="AE30" s="43">
        <f t="shared" si="2"/>
        <v>0</v>
      </c>
      <c r="AF30" s="3">
        <f t="shared" si="56"/>
        <v>0</v>
      </c>
      <c r="AG30" s="3">
        <f t="shared" si="57"/>
        <v>0</v>
      </c>
      <c r="AH30" s="3">
        <f t="shared" si="58"/>
        <v>0</v>
      </c>
      <c r="AI30" s="3">
        <f t="shared" si="59"/>
        <v>0</v>
      </c>
      <c r="AJ30" s="3">
        <f t="shared" si="60"/>
        <v>0</v>
      </c>
      <c r="AK30" s="3">
        <f t="shared" si="61"/>
        <v>0</v>
      </c>
      <c r="AL30" s="3">
        <f t="shared" si="62"/>
        <v>0</v>
      </c>
      <c r="AM30" s="3">
        <f t="shared" si="63"/>
        <v>0</v>
      </c>
      <c r="AN30" s="3">
        <f t="shared" si="64"/>
        <v>0</v>
      </c>
      <c r="AO30" s="54">
        <f t="shared" si="65"/>
        <v>0</v>
      </c>
      <c r="AQ30" s="57" t="s">
        <v>42</v>
      </c>
      <c r="AU30" s="104">
        <f t="shared" si="66"/>
        <v>0</v>
      </c>
      <c r="AV30" s="104">
        <f t="shared" si="3"/>
        <v>0</v>
      </c>
      <c r="AW30" s="79"/>
      <c r="AX30" s="8"/>
      <c r="AY30" s="52">
        <f t="shared" si="4"/>
        <v>0</v>
      </c>
      <c r="AZ30" s="52">
        <f t="shared" si="5"/>
        <v>0</v>
      </c>
      <c r="BA30" s="52">
        <f t="shared" si="6"/>
        <v>0</v>
      </c>
      <c r="BB30" s="52">
        <f t="shared" si="7"/>
        <v>0</v>
      </c>
      <c r="BC30" s="52">
        <f t="shared" si="8"/>
        <v>0</v>
      </c>
      <c r="BD30" s="52">
        <f t="shared" si="8"/>
        <v>0</v>
      </c>
      <c r="BE30" s="52">
        <f t="shared" si="8"/>
        <v>0</v>
      </c>
      <c r="BF30" s="52">
        <f t="shared" si="9"/>
        <v>0</v>
      </c>
      <c r="BG30" s="52">
        <f t="shared" si="10"/>
        <v>0</v>
      </c>
      <c r="BH30" s="52">
        <f t="shared" si="67"/>
        <v>0</v>
      </c>
      <c r="BI30" s="10"/>
      <c r="BJ30" s="10"/>
      <c r="BK30" s="10"/>
      <c r="BL30" s="10"/>
      <c r="BM30" s="10"/>
      <c r="BN30" s="113" t="e">
        <f>AR30/VLOOKUP(AP30,References!$A$3:$C$53,2,FALSE)</f>
        <v>#N/A</v>
      </c>
      <c r="BO30" s="113">
        <f t="shared" si="68"/>
        <v>0</v>
      </c>
      <c r="BP30" s="113">
        <f t="shared" si="11"/>
        <v>0</v>
      </c>
      <c r="BQ30" s="113">
        <f>((R30*(VLOOKUP(Q30,References!$A$57:$D$110,2,FALSE))%)+(S30*(VLOOKUP(Q30,References!$A$57:$D$110,2,FALSE))%)*(CW30+DA30+DM30))</f>
        <v>0</v>
      </c>
      <c r="BR30" s="113">
        <f>((R30*(VLOOKUP(Q30,References!$A$57:$D$110,3,FALSE))%)+(S30*(VLOOKUP(Q30,References!$A$57:$D$110,3,FALSE))%)*(CW30+DA30+DM30))</f>
        <v>0</v>
      </c>
      <c r="BS30" s="113">
        <f>((R30*(VLOOKUP(Q30,References!$A$57:$D$110,4,FALSE))%)+(S30*(VLOOKUP(Q30,References!$A$57:$D$110,4,FALSE))%)*(CW30+DA30+DM30))</f>
        <v>0</v>
      </c>
      <c r="BT30" s="10">
        <f>((((R30+S30)/100)*VLOOKUP(Q30,References!$A$58:$M$110,13,FALSE))*(CW30+DA30+DM30))</f>
        <v>0</v>
      </c>
      <c r="BU30" s="10" t="e">
        <f>(AR30/1000)*VLOOKUP(AP30,References!$A$4:$P$54,11,FALSE)</f>
        <v>#N/A</v>
      </c>
      <c r="BV30" s="10" t="e">
        <f>(AR30/1000)*VLOOKUP(AP30,References!$A$4:$P$54,12,FALSE)</f>
        <v>#N/A</v>
      </c>
      <c r="BW30" s="10" t="e">
        <f>(AR30/1000)*VLOOKUP(AP30,References!$A$4:$P$54,13,FALSE)</f>
        <v>#N/A</v>
      </c>
      <c r="BX30" s="113">
        <f t="shared" si="69"/>
        <v>0</v>
      </c>
      <c r="BY30" s="113">
        <f t="shared" si="69"/>
        <v>0</v>
      </c>
      <c r="BZ30" s="113">
        <f t="shared" si="69"/>
        <v>0</v>
      </c>
      <c r="CA30" s="113">
        <f t="shared" si="13"/>
        <v>0</v>
      </c>
      <c r="CB30" s="113">
        <f t="shared" si="14"/>
        <v>0</v>
      </c>
      <c r="CC30" s="113">
        <f t="shared" si="15"/>
        <v>0</v>
      </c>
      <c r="CD30" s="113">
        <f t="shared" si="16"/>
        <v>0</v>
      </c>
      <c r="CE30" s="113">
        <f t="shared" si="17"/>
        <v>0</v>
      </c>
      <c r="CF30" s="113">
        <f t="shared" si="18"/>
        <v>0</v>
      </c>
      <c r="CG30" s="113"/>
      <c r="CH30" s="113"/>
      <c r="CI30" s="113"/>
      <c r="CJ30" s="113"/>
      <c r="CK30" s="113"/>
      <c r="CL30" s="113"/>
      <c r="CM30" s="113">
        <f t="shared" si="19"/>
        <v>0</v>
      </c>
      <c r="CN30" s="113" t="e">
        <f>R30*VLOOKUP(Q30,References!$A$86:$E$158,2,FALSE)+S30*VLOOKUP(Q30,References!$A$86:$E$158,2,FALSE)</f>
        <v>#N/A</v>
      </c>
      <c r="CO30" s="113" t="e">
        <f>((VLOOKUP(Q30,References!$A$86:$E$158,3,FALSE)-(CN30/C$7))/(VLOOKUP(Q30,References!$A$86:$E$158,3,FALSE)))</f>
        <v>#N/A</v>
      </c>
      <c r="CP30" s="101" t="e">
        <f t="shared" si="70"/>
        <v>#N/A</v>
      </c>
      <c r="CQ30" s="113">
        <f t="shared" si="71"/>
        <v>0</v>
      </c>
      <c r="CR30" s="113">
        <f t="shared" si="20"/>
        <v>0</v>
      </c>
      <c r="CS30" s="113">
        <f t="shared" si="20"/>
        <v>0</v>
      </c>
      <c r="CT30" s="113"/>
      <c r="CU30" s="10"/>
      <c r="CV30" s="10"/>
      <c r="CW30" s="52">
        <f t="shared" si="72"/>
        <v>0</v>
      </c>
      <c r="CX30" s="52">
        <f t="shared" si="21"/>
        <v>0</v>
      </c>
      <c r="CY30" s="52">
        <f t="shared" si="22"/>
        <v>0</v>
      </c>
      <c r="CZ30" s="52">
        <f t="shared" si="23"/>
        <v>0</v>
      </c>
      <c r="DA30" s="52">
        <f t="shared" si="73"/>
        <v>0</v>
      </c>
      <c r="DB30" s="52">
        <f t="shared" si="24"/>
        <v>0</v>
      </c>
      <c r="DC30" s="52">
        <f t="shared" si="25"/>
        <v>0</v>
      </c>
      <c r="DD30" s="52">
        <f t="shared" si="26"/>
        <v>0</v>
      </c>
      <c r="DE30" s="52">
        <f t="shared" si="74"/>
        <v>0</v>
      </c>
      <c r="DF30" s="52">
        <f t="shared" si="27"/>
        <v>0</v>
      </c>
      <c r="DG30" s="52">
        <f t="shared" si="28"/>
        <v>0</v>
      </c>
      <c r="DH30" s="52">
        <f t="shared" si="29"/>
        <v>0</v>
      </c>
      <c r="DI30" s="52">
        <f t="shared" si="75"/>
        <v>0</v>
      </c>
      <c r="DJ30" s="52">
        <f t="shared" si="30"/>
        <v>0</v>
      </c>
      <c r="DK30" s="52">
        <f t="shared" si="31"/>
        <v>0</v>
      </c>
      <c r="DL30" s="52">
        <f t="shared" si="32"/>
        <v>0</v>
      </c>
      <c r="DM30" s="52">
        <f t="shared" si="76"/>
        <v>0</v>
      </c>
      <c r="DN30" s="52">
        <f t="shared" si="33"/>
        <v>0</v>
      </c>
      <c r="DO30" s="52">
        <f t="shared" si="34"/>
        <v>0</v>
      </c>
      <c r="DP30" s="52">
        <f t="shared" si="35"/>
        <v>0</v>
      </c>
      <c r="DQ30" s="52">
        <f t="shared" si="77"/>
        <v>0</v>
      </c>
      <c r="DR30" s="52">
        <f t="shared" si="36"/>
        <v>0</v>
      </c>
      <c r="DS30" s="52">
        <f t="shared" si="37"/>
        <v>0</v>
      </c>
      <c r="DT30" s="52">
        <f t="shared" si="38"/>
        <v>0</v>
      </c>
      <c r="DU30" s="52">
        <f t="shared" si="78"/>
        <v>0</v>
      </c>
      <c r="DV30" s="52">
        <f t="shared" si="39"/>
        <v>0</v>
      </c>
      <c r="DW30" s="52">
        <f t="shared" si="40"/>
        <v>0</v>
      </c>
      <c r="DX30" s="52">
        <f t="shared" si="41"/>
        <v>0</v>
      </c>
      <c r="DY30" s="52">
        <f t="shared" si="79"/>
        <v>0</v>
      </c>
      <c r="DZ30" s="52">
        <f t="shared" si="42"/>
        <v>0</v>
      </c>
      <c r="EA30" s="52">
        <f t="shared" si="43"/>
        <v>0</v>
      </c>
      <c r="EB30" s="52">
        <f t="shared" si="44"/>
        <v>0</v>
      </c>
      <c r="EC30" s="52">
        <f t="shared" si="80"/>
        <v>1</v>
      </c>
      <c r="ED30" s="52">
        <f t="shared" si="45"/>
        <v>0</v>
      </c>
      <c r="EE30" s="52">
        <f t="shared" si="46"/>
        <v>0</v>
      </c>
      <c r="EF30" s="52">
        <f t="shared" si="47"/>
        <v>0</v>
      </c>
      <c r="EG30" s="52">
        <f t="shared" si="81"/>
        <v>0</v>
      </c>
      <c r="EH30" s="52">
        <f t="shared" si="48"/>
        <v>0</v>
      </c>
      <c r="EI30" s="52">
        <f t="shared" si="49"/>
        <v>0</v>
      </c>
      <c r="EJ30" s="52">
        <f t="shared" si="50"/>
        <v>0</v>
      </c>
      <c r="EK30" s="52">
        <f t="shared" si="82"/>
        <v>1</v>
      </c>
      <c r="EL30" s="52">
        <f t="shared" si="51"/>
        <v>0</v>
      </c>
      <c r="EM30" s="52"/>
      <c r="EN30" s="64">
        <f t="shared" si="83"/>
        <v>0</v>
      </c>
      <c r="EO30" s="64">
        <f t="shared" si="84"/>
        <v>1</v>
      </c>
      <c r="EP30" s="64" t="str">
        <f t="shared" si="86"/>
        <v>1</v>
      </c>
      <c r="EQ30" s="64" t="str">
        <f t="shared" si="85"/>
        <v>0</v>
      </c>
    </row>
    <row r="31" spans="1:147" s="17" customFormat="1" ht="15.75" thickBot="1" x14ac:dyDescent="0.3">
      <c r="A31" s="14"/>
      <c r="B31" s="25"/>
      <c r="C31" s="18"/>
      <c r="D31" s="26" t="s">
        <v>102</v>
      </c>
      <c r="E31" s="26" t="s">
        <v>38</v>
      </c>
      <c r="F31" s="26" t="s">
        <v>19</v>
      </c>
      <c r="G31" s="26" t="s">
        <v>1</v>
      </c>
      <c r="H31" s="27"/>
      <c r="I31" s="14"/>
      <c r="J31" s="14"/>
      <c r="K31" s="14"/>
      <c r="L31" s="14"/>
      <c r="N31" s="17">
        <f>(H31*I31)+(K31*L31)</f>
        <v>0</v>
      </c>
      <c r="O31" s="18"/>
      <c r="P31" s="18" t="s">
        <v>120</v>
      </c>
      <c r="Q31" s="18" t="s">
        <v>212</v>
      </c>
      <c r="R31" s="18"/>
      <c r="U31" s="17">
        <f t="shared" si="53"/>
        <v>0</v>
      </c>
      <c r="AB31" s="17">
        <f t="shared" si="54"/>
        <v>0</v>
      </c>
      <c r="AC31" s="17">
        <f t="shared" si="55"/>
        <v>0</v>
      </c>
      <c r="AD31" s="17">
        <f>(V31*X31)+(Y31*AA31)</f>
        <v>0</v>
      </c>
      <c r="AE31" s="17">
        <f t="shared" si="2"/>
        <v>0</v>
      </c>
      <c r="AF31" s="17">
        <f t="shared" si="56"/>
        <v>0</v>
      </c>
      <c r="AG31" s="17">
        <f t="shared" si="57"/>
        <v>0</v>
      </c>
      <c r="AH31" s="17">
        <f t="shared" si="58"/>
        <v>0</v>
      </c>
      <c r="AI31" s="17">
        <f t="shared" si="59"/>
        <v>0</v>
      </c>
      <c r="AJ31" s="17">
        <f t="shared" si="60"/>
        <v>0</v>
      </c>
      <c r="AK31" s="17">
        <f t="shared" si="61"/>
        <v>0</v>
      </c>
      <c r="AL31" s="17">
        <f t="shared" si="62"/>
        <v>0</v>
      </c>
      <c r="AM31" s="17">
        <f t="shared" si="63"/>
        <v>0</v>
      </c>
      <c r="AN31" s="17">
        <f t="shared" si="64"/>
        <v>0</v>
      </c>
      <c r="AO31" s="28">
        <f t="shared" si="65"/>
        <v>0</v>
      </c>
      <c r="AQ31" s="17" t="s">
        <v>42</v>
      </c>
      <c r="AU31" s="17">
        <f t="shared" si="66"/>
        <v>0</v>
      </c>
      <c r="AV31" s="17">
        <f t="shared" si="3"/>
        <v>0</v>
      </c>
      <c r="AW31" s="79"/>
      <c r="AX31" s="8"/>
      <c r="AY31" s="28">
        <f t="shared" si="4"/>
        <v>0</v>
      </c>
      <c r="AZ31" s="28">
        <f t="shared" si="5"/>
        <v>0</v>
      </c>
      <c r="BA31" s="28">
        <f t="shared" si="6"/>
        <v>0</v>
      </c>
      <c r="BB31" s="28">
        <f t="shared" si="7"/>
        <v>0</v>
      </c>
      <c r="BC31" s="28">
        <f t="shared" si="8"/>
        <v>0</v>
      </c>
      <c r="BD31" s="28">
        <f t="shared" si="8"/>
        <v>0</v>
      </c>
      <c r="BE31" s="28">
        <f t="shared" si="8"/>
        <v>0</v>
      </c>
      <c r="BF31" s="28">
        <f t="shared" si="9"/>
        <v>0</v>
      </c>
      <c r="BG31" s="28">
        <f t="shared" si="10"/>
        <v>0</v>
      </c>
      <c r="BH31" s="28">
        <f t="shared" si="67"/>
        <v>0</v>
      </c>
      <c r="BI31" s="156" t="s">
        <v>17</v>
      </c>
      <c r="BJ31" s="156" t="s">
        <v>87</v>
      </c>
      <c r="BK31" s="156" t="s">
        <v>88</v>
      </c>
      <c r="BL31" s="10"/>
      <c r="BM31" s="10"/>
      <c r="BN31" s="113" t="e">
        <f>AR31/VLOOKUP(AP31,References!$A$3:$C$53,2,FALSE)</f>
        <v>#N/A</v>
      </c>
      <c r="BO31" s="113">
        <f t="shared" si="68"/>
        <v>0</v>
      </c>
      <c r="BP31" s="113">
        <f t="shared" si="11"/>
        <v>0</v>
      </c>
      <c r="BQ31" s="113">
        <f>((R31*(VLOOKUP(Q31,References!$A$57:$D$110,2,FALSE))%)+(S31*(VLOOKUP(Q31,References!$A$57:$D$110,2,FALSE))%)*(CW31+DA31+DM31))</f>
        <v>0</v>
      </c>
      <c r="BR31" s="113">
        <f>((R31*(VLOOKUP(Q31,References!$A$57:$D$110,3,FALSE))%)+(S31*(VLOOKUP(Q31,References!$A$57:$D$110,3,FALSE))%)*(CW31+DA31+DM31))</f>
        <v>0</v>
      </c>
      <c r="BS31" s="113">
        <f>((R31*(VLOOKUP(Q31,References!$A$57:$D$110,4,FALSE))%)+(S31*(VLOOKUP(Q31,References!$A$57:$D$110,4,FALSE))%)*(CW31+DA31+DM31))</f>
        <v>0</v>
      </c>
      <c r="BT31" s="10">
        <f>((((R31+S31)/100)*VLOOKUP(Q31,References!$A$58:$M$110,13,FALSE))*(CW31+DA31+DM31))</f>
        <v>0</v>
      </c>
      <c r="BU31" s="10" t="e">
        <f>(AR31/1000)*VLOOKUP(AP31,References!$A$4:$P$54,11,FALSE)</f>
        <v>#N/A</v>
      </c>
      <c r="BV31" s="10" t="e">
        <f>(AR31/1000)*VLOOKUP(AP31,References!$A$4:$P$54,12,FALSE)</f>
        <v>#N/A</v>
      </c>
      <c r="BW31" s="10" t="e">
        <f>(AR31/1000)*VLOOKUP(AP31,References!$A$4:$P$54,13,FALSE)</f>
        <v>#N/A</v>
      </c>
      <c r="BX31" s="113">
        <f t="shared" si="69"/>
        <v>0</v>
      </c>
      <c r="BY31" s="113">
        <f t="shared" si="69"/>
        <v>0</v>
      </c>
      <c r="BZ31" s="113">
        <f t="shared" si="69"/>
        <v>0</v>
      </c>
      <c r="CA31" s="113">
        <f t="shared" si="13"/>
        <v>0</v>
      </c>
      <c r="CB31" s="113">
        <f t="shared" si="14"/>
        <v>0</v>
      </c>
      <c r="CC31" s="113">
        <f t="shared" si="15"/>
        <v>0</v>
      </c>
      <c r="CD31" s="113">
        <f t="shared" si="16"/>
        <v>0</v>
      </c>
      <c r="CE31" s="113">
        <f t="shared" si="17"/>
        <v>0</v>
      </c>
      <c r="CF31" s="113">
        <f t="shared" si="18"/>
        <v>0</v>
      </c>
      <c r="CG31" s="113"/>
      <c r="CH31" s="113"/>
      <c r="CI31" s="113"/>
      <c r="CJ31" s="113"/>
      <c r="CK31" s="113"/>
      <c r="CL31" s="113"/>
      <c r="CM31" s="113">
        <f t="shared" si="19"/>
        <v>0</v>
      </c>
      <c r="CN31" s="113" t="e">
        <f>R31*VLOOKUP(Q31,References!$A$86:$E$158,2,FALSE)+S31*VLOOKUP(Q31,References!$A$86:$E$158,2,FALSE)</f>
        <v>#N/A</v>
      </c>
      <c r="CO31" s="113" t="e">
        <f>((VLOOKUP(Q31,References!$A$86:$E$158,3,FALSE)-(CN31/C$7))/(VLOOKUP(Q31,References!$A$86:$E$158,3,FALSE)))</f>
        <v>#N/A</v>
      </c>
      <c r="CP31" s="101" t="e">
        <f t="shared" si="70"/>
        <v>#N/A</v>
      </c>
      <c r="CQ31" s="113">
        <f t="shared" si="71"/>
        <v>0</v>
      </c>
      <c r="CR31" s="113">
        <f t="shared" si="20"/>
        <v>0</v>
      </c>
      <c r="CS31" s="113">
        <f t="shared" si="20"/>
        <v>0</v>
      </c>
      <c r="CT31" s="113"/>
      <c r="CU31" s="10"/>
      <c r="CV31" s="10"/>
      <c r="CW31" s="28">
        <f t="shared" si="72"/>
        <v>0</v>
      </c>
      <c r="CX31" s="28">
        <f t="shared" si="21"/>
        <v>0</v>
      </c>
      <c r="CY31" s="28">
        <f t="shared" si="22"/>
        <v>0</v>
      </c>
      <c r="CZ31" s="28">
        <f t="shared" si="23"/>
        <v>0</v>
      </c>
      <c r="DA31" s="28">
        <f t="shared" si="73"/>
        <v>0</v>
      </c>
      <c r="DB31" s="28">
        <f t="shared" si="24"/>
        <v>0</v>
      </c>
      <c r="DC31" s="28">
        <f t="shared" si="25"/>
        <v>0</v>
      </c>
      <c r="DD31" s="28">
        <f t="shared" si="26"/>
        <v>0</v>
      </c>
      <c r="DE31" s="28">
        <f t="shared" si="74"/>
        <v>0</v>
      </c>
      <c r="DF31" s="28">
        <f t="shared" si="27"/>
        <v>0</v>
      </c>
      <c r="DG31" s="28">
        <f t="shared" si="28"/>
        <v>0</v>
      </c>
      <c r="DH31" s="28">
        <f t="shared" si="29"/>
        <v>0</v>
      </c>
      <c r="DI31" s="28">
        <f t="shared" si="75"/>
        <v>0</v>
      </c>
      <c r="DJ31" s="28">
        <f t="shared" si="30"/>
        <v>0</v>
      </c>
      <c r="DK31" s="28">
        <f t="shared" si="31"/>
        <v>0</v>
      </c>
      <c r="DL31" s="28">
        <f t="shared" si="32"/>
        <v>0</v>
      </c>
      <c r="DM31" s="28">
        <f t="shared" si="76"/>
        <v>0</v>
      </c>
      <c r="DN31" s="28">
        <f t="shared" si="33"/>
        <v>0</v>
      </c>
      <c r="DO31" s="28">
        <f t="shared" si="34"/>
        <v>0</v>
      </c>
      <c r="DP31" s="28">
        <f t="shared" si="35"/>
        <v>0</v>
      </c>
      <c r="DQ31" s="28">
        <f t="shared" si="77"/>
        <v>0</v>
      </c>
      <c r="DR31" s="28">
        <f t="shared" si="36"/>
        <v>0</v>
      </c>
      <c r="DS31" s="28">
        <f t="shared" si="37"/>
        <v>0</v>
      </c>
      <c r="DT31" s="28">
        <f t="shared" si="38"/>
        <v>0</v>
      </c>
      <c r="DU31" s="28">
        <f t="shared" si="78"/>
        <v>0</v>
      </c>
      <c r="DV31" s="28">
        <f t="shared" si="39"/>
        <v>0</v>
      </c>
      <c r="DW31" s="28">
        <f t="shared" si="40"/>
        <v>0</v>
      </c>
      <c r="DX31" s="28">
        <f t="shared" si="41"/>
        <v>0</v>
      </c>
      <c r="DY31" s="28">
        <f t="shared" si="79"/>
        <v>0</v>
      </c>
      <c r="DZ31" s="28">
        <f t="shared" si="42"/>
        <v>0</v>
      </c>
      <c r="EA31" s="28">
        <f t="shared" si="43"/>
        <v>0</v>
      </c>
      <c r="EB31" s="28">
        <f t="shared" si="44"/>
        <v>0</v>
      </c>
      <c r="EC31" s="28">
        <f t="shared" si="80"/>
        <v>0</v>
      </c>
      <c r="ED31" s="28">
        <f t="shared" si="45"/>
        <v>0</v>
      </c>
      <c r="EE31" s="17">
        <f t="shared" si="46"/>
        <v>0</v>
      </c>
      <c r="EF31" s="17">
        <f t="shared" si="47"/>
        <v>0</v>
      </c>
      <c r="EG31" s="28">
        <f t="shared" si="81"/>
        <v>1</v>
      </c>
      <c r="EH31" s="28">
        <f t="shared" si="48"/>
        <v>0</v>
      </c>
      <c r="EI31" s="17">
        <f t="shared" si="49"/>
        <v>0</v>
      </c>
      <c r="EJ31" s="17">
        <f t="shared" si="50"/>
        <v>0</v>
      </c>
      <c r="EK31" s="28">
        <f t="shared" si="82"/>
        <v>1</v>
      </c>
      <c r="EL31" s="17">
        <f t="shared" si="51"/>
        <v>0</v>
      </c>
      <c r="EN31" s="28"/>
      <c r="EO31" s="28"/>
      <c r="EP31" s="28"/>
      <c r="EQ31" s="28"/>
    </row>
    <row r="32" spans="1:147" s="36" customFormat="1" ht="19.5" thickBot="1" x14ac:dyDescent="0.35">
      <c r="A32" s="35" t="str">
        <f>A1</f>
        <v>PLOT 1</v>
      </c>
      <c r="B32" s="31" t="str">
        <f>C$3</f>
        <v>Palani</v>
      </c>
      <c r="C32" s="32">
        <f>C7</f>
        <v>0.5</v>
      </c>
      <c r="D32" s="33"/>
      <c r="E32" s="33"/>
      <c r="F32" s="33">
        <f>C5</f>
        <v>42522</v>
      </c>
      <c r="G32" s="33" t="str">
        <f>C6</f>
        <v>Turmeric</v>
      </c>
      <c r="H32" s="34">
        <f t="shared" ref="H32:N32" si="87">SUM(H4:H31)</f>
        <v>2</v>
      </c>
      <c r="I32" s="35"/>
      <c r="J32" s="35">
        <f>SUM(J4:J31)</f>
        <v>0</v>
      </c>
      <c r="K32" s="35">
        <f t="shared" si="87"/>
        <v>0</v>
      </c>
      <c r="L32" s="35"/>
      <c r="M32" s="35">
        <f t="shared" si="87"/>
        <v>1200</v>
      </c>
      <c r="N32" s="36">
        <f t="shared" si="87"/>
        <v>1200</v>
      </c>
      <c r="O32" s="32"/>
      <c r="P32" s="32"/>
      <c r="Q32" s="32"/>
      <c r="R32" s="32">
        <f t="shared" ref="R32:W32" si="88">SUM(R4:R31)</f>
        <v>1261</v>
      </c>
      <c r="S32" s="36">
        <f t="shared" si="88"/>
        <v>12</v>
      </c>
      <c r="T32" s="36">
        <f t="shared" si="88"/>
        <v>142.66</v>
      </c>
      <c r="U32" s="36">
        <f t="shared" si="88"/>
        <v>11646.5</v>
      </c>
      <c r="V32" s="36">
        <f t="shared" si="88"/>
        <v>11</v>
      </c>
      <c r="W32" s="36">
        <f t="shared" si="88"/>
        <v>0</v>
      </c>
      <c r="Y32" s="36">
        <f>SUM(Y4:Y31)</f>
        <v>7</v>
      </c>
      <c r="Z32" s="36">
        <f>SUM(Z4:Z31)</f>
        <v>13</v>
      </c>
      <c r="AB32" s="36">
        <f t="shared" ref="AB32:AC32" si="89">SUM(AB4:AB31)</f>
        <v>3300</v>
      </c>
      <c r="AC32" s="36">
        <f t="shared" si="89"/>
        <v>3000</v>
      </c>
      <c r="AD32" s="36">
        <f>SUM(AD4:AD31)</f>
        <v>6300</v>
      </c>
      <c r="AE32" s="66">
        <f>SUM(AE4:AE31)</f>
        <v>19146.5</v>
      </c>
      <c r="AF32" s="66">
        <f>SUM(AF4:AF31)</f>
        <v>1200</v>
      </c>
      <c r="AG32" s="66">
        <f t="shared" ref="AG32:AO32" si="90">SUM(AG4:AG31)</f>
        <v>40</v>
      </c>
      <c r="AH32" s="66">
        <f t="shared" si="90"/>
        <v>0</v>
      </c>
      <c r="AI32" s="66">
        <f t="shared" si="90"/>
        <v>1950</v>
      </c>
      <c r="AJ32" s="66">
        <f t="shared" si="90"/>
        <v>3190</v>
      </c>
      <c r="AK32" s="66">
        <f t="shared" si="90"/>
        <v>0</v>
      </c>
      <c r="AL32" s="66">
        <f t="shared" si="90"/>
        <v>11606.5</v>
      </c>
      <c r="AM32" s="66">
        <f t="shared" si="90"/>
        <v>3300</v>
      </c>
      <c r="AN32" s="66">
        <f t="shared" si="90"/>
        <v>1050</v>
      </c>
      <c r="AO32" s="66">
        <f t="shared" si="90"/>
        <v>15956.5</v>
      </c>
      <c r="AU32" s="36">
        <f>SUM(AU4:AU31)</f>
        <v>0</v>
      </c>
      <c r="AV32" s="65">
        <f>SUM(AV4:AV31)</f>
        <v>63205</v>
      </c>
      <c r="AW32" s="102"/>
      <c r="AX32" s="30"/>
      <c r="AY32" s="71">
        <f t="shared" ref="AY32:AZ32" si="91">SUM(AY4:AY31)</f>
        <v>38293</v>
      </c>
      <c r="AZ32" s="71">
        <f t="shared" si="91"/>
        <v>6380</v>
      </c>
      <c r="BA32" s="66">
        <f>SUM(BA4:BA31)</f>
        <v>37973</v>
      </c>
      <c r="BB32" s="66">
        <f t="shared" ref="BB32:BH32" si="92">SUM(BB4:BB31)</f>
        <v>320</v>
      </c>
      <c r="BC32" s="66">
        <f t="shared" si="92"/>
        <v>2400</v>
      </c>
      <c r="BD32" s="66">
        <f t="shared" si="92"/>
        <v>23293</v>
      </c>
      <c r="BE32" s="74">
        <f t="shared" si="92"/>
        <v>12600</v>
      </c>
      <c r="BF32" s="66">
        <f t="shared" si="92"/>
        <v>125400</v>
      </c>
      <c r="BG32" s="66">
        <f t="shared" si="92"/>
        <v>1010</v>
      </c>
      <c r="BH32" s="71">
        <f t="shared" si="92"/>
        <v>126410</v>
      </c>
      <c r="BI32" s="73">
        <f>BH32/AY32</f>
        <v>3.3011255320815813</v>
      </c>
      <c r="BJ32" s="72">
        <f>BH32/AZ32</f>
        <v>19.813479623824453</v>
      </c>
      <c r="BK32" s="72">
        <f>BE32/AY32</f>
        <v>0.32904186143681613</v>
      </c>
      <c r="BL32" s="112"/>
      <c r="BM32" s="112"/>
      <c r="BN32" s="112"/>
      <c r="BO32" s="114">
        <f>SUM(BO4:BO31)</f>
        <v>0.62599548912542169</v>
      </c>
      <c r="BP32" s="114">
        <f>SUM(BP4:BP31)</f>
        <v>1.2519909782508434</v>
      </c>
      <c r="BQ32" s="114">
        <f>SUM(BQ4:BQ31)</f>
        <v>4.9875000000000007</v>
      </c>
      <c r="BR32" s="114">
        <f t="shared" ref="BR32:CR32" si="93">SUM(BR4:BR31)</f>
        <v>3.9375</v>
      </c>
      <c r="BS32" s="114">
        <f t="shared" si="93"/>
        <v>3.4124999999999996</v>
      </c>
      <c r="BT32" s="114">
        <f t="shared" si="93"/>
        <v>0</v>
      </c>
      <c r="BU32" s="114"/>
      <c r="BV32" s="114"/>
      <c r="BW32" s="114"/>
      <c r="BX32" s="114">
        <f t="shared" si="93"/>
        <v>11.049723756906078</v>
      </c>
      <c r="BY32" s="114">
        <f t="shared" si="93"/>
        <v>10.112425906255385</v>
      </c>
      <c r="BZ32" s="114">
        <f t="shared" si="93"/>
        <v>9.9206349206349209</v>
      </c>
      <c r="CA32" s="114">
        <f t="shared" si="93"/>
        <v>9.9750000000000014</v>
      </c>
      <c r="CB32" s="114">
        <f t="shared" si="93"/>
        <v>7.875</v>
      </c>
      <c r="CC32" s="114">
        <f t="shared" si="93"/>
        <v>6.8249999999999993</v>
      </c>
      <c r="CD32" s="114">
        <f t="shared" si="93"/>
        <v>22.099447513812155</v>
      </c>
      <c r="CE32" s="114">
        <f t="shared" si="93"/>
        <v>20.224851812510771</v>
      </c>
      <c r="CF32" s="114">
        <f t="shared" si="93"/>
        <v>19.841269841269842</v>
      </c>
      <c r="CG32" s="113">
        <f>CA32-CD32</f>
        <v>-12.124447513812154</v>
      </c>
      <c r="CH32" s="113">
        <f t="shared" ref="CH32:CI32" si="94">CB32-CE32</f>
        <v>-12.349851812510771</v>
      </c>
      <c r="CI32" s="113">
        <f t="shared" si="94"/>
        <v>-13.016269841269843</v>
      </c>
      <c r="CJ32" s="113">
        <f>(VLOOKUP(C$6,References!$A$4:$AB$53,23,FALSE)-(CA32-CD32))/(VLOOKUP(C$6,References!$A$4:$AB$53,23,FALSE))</f>
        <v>1.3425382914269162</v>
      </c>
      <c r="CK32" s="113">
        <f>(VLOOKUP(C$6,References!$A$4:$AB$53,23,FALSE)-(CB32-CE32))/(VLOOKUP(C$6,References!$A$4:$AB$53,23,FALSE))</f>
        <v>1.3489063839332796</v>
      </c>
      <c r="CL32" s="113">
        <f>(VLOOKUP(C$6,References!$A$4:$AB$53,23,FALSE)-(CC32-CF32))/(VLOOKUP(C$6,References!$A$4:$AB$53,23,FALSE))</f>
        <v>1.367733938152734</v>
      </c>
      <c r="CM32" s="114">
        <f>SUM(CM4:CM31)</f>
        <v>0</v>
      </c>
      <c r="CN32" s="114"/>
      <c r="CO32" s="114"/>
      <c r="CP32" s="114"/>
      <c r="CQ32" s="114">
        <f t="shared" si="93"/>
        <v>0</v>
      </c>
      <c r="CR32" s="114">
        <f t="shared" si="93"/>
        <v>0</v>
      </c>
      <c r="CS32" s="114">
        <f>1-SUM(CS4:CS31)</f>
        <v>1</v>
      </c>
      <c r="CT32" s="112"/>
      <c r="CU32" s="112"/>
      <c r="CV32" s="112"/>
      <c r="CW32" s="37">
        <f>CX32+CY32+CZ32</f>
        <v>2400</v>
      </c>
      <c r="CX32" s="37">
        <f t="shared" ref="CX32:EF32" si="95">SUM(CX4:CX31)</f>
        <v>2400</v>
      </c>
      <c r="CY32" s="37">
        <f t="shared" si="95"/>
        <v>0</v>
      </c>
      <c r="CZ32" s="37">
        <f t="shared" si="95"/>
        <v>0</v>
      </c>
      <c r="DA32" s="37">
        <f>DB32+DC32+DD32</f>
        <v>2762</v>
      </c>
      <c r="DB32" s="37">
        <f t="shared" si="95"/>
        <v>0</v>
      </c>
      <c r="DC32" s="37">
        <f t="shared" si="95"/>
        <v>1862</v>
      </c>
      <c r="DD32" s="37">
        <f t="shared" si="95"/>
        <v>900</v>
      </c>
      <c r="DE32" s="37">
        <f>DF32+DG32+DH32</f>
        <v>22120</v>
      </c>
      <c r="DF32" s="37">
        <f t="shared" si="95"/>
        <v>0</v>
      </c>
      <c r="DG32" s="37">
        <f t="shared" si="95"/>
        <v>20320</v>
      </c>
      <c r="DH32" s="37">
        <f t="shared" si="95"/>
        <v>1800</v>
      </c>
      <c r="DI32" s="37">
        <f>DJ32+DK32+DL32</f>
        <v>0</v>
      </c>
      <c r="DJ32" s="37">
        <f t="shared" ref="DJ32:DL32" si="96">SUM(DJ4:DJ31)</f>
        <v>0</v>
      </c>
      <c r="DK32" s="37">
        <f t="shared" si="96"/>
        <v>0</v>
      </c>
      <c r="DL32" s="37">
        <f t="shared" si="96"/>
        <v>0</v>
      </c>
      <c r="DM32" s="37">
        <f>DN32+DO32+DP32</f>
        <v>1831</v>
      </c>
      <c r="DN32" s="37">
        <f t="shared" si="95"/>
        <v>0</v>
      </c>
      <c r="DO32" s="37">
        <f t="shared" si="95"/>
        <v>931</v>
      </c>
      <c r="DP32" s="37">
        <f t="shared" si="95"/>
        <v>900</v>
      </c>
      <c r="DQ32" s="37">
        <f>DR32+DS32+DT32</f>
        <v>6000</v>
      </c>
      <c r="DR32" s="37">
        <f t="shared" si="95"/>
        <v>0</v>
      </c>
      <c r="DS32" s="37">
        <f t="shared" si="95"/>
        <v>0</v>
      </c>
      <c r="DT32" s="37">
        <f t="shared" si="95"/>
        <v>6000</v>
      </c>
      <c r="DU32" s="37">
        <f>DV32+DW32+DX32</f>
        <v>780</v>
      </c>
      <c r="DV32" s="37">
        <f t="shared" si="95"/>
        <v>0</v>
      </c>
      <c r="DW32" s="37">
        <f t="shared" si="95"/>
        <v>180</v>
      </c>
      <c r="DX32" s="37">
        <f t="shared" si="95"/>
        <v>600</v>
      </c>
      <c r="DY32" s="37">
        <f>DZ32+EA32+EB32</f>
        <v>2400</v>
      </c>
      <c r="DZ32" s="37">
        <f t="shared" si="95"/>
        <v>0</v>
      </c>
      <c r="EA32" s="37">
        <f t="shared" si="95"/>
        <v>0</v>
      </c>
      <c r="EB32" s="37">
        <f t="shared" si="95"/>
        <v>2400</v>
      </c>
      <c r="EC32" s="37">
        <f>ED32+EE32+EF32</f>
        <v>0</v>
      </c>
      <c r="ED32" s="37">
        <f t="shared" si="95"/>
        <v>0</v>
      </c>
      <c r="EE32" s="37">
        <f t="shared" si="95"/>
        <v>0</v>
      </c>
      <c r="EF32" s="37">
        <f t="shared" si="95"/>
        <v>0</v>
      </c>
      <c r="EG32" s="37">
        <f>EH32+EI32+EJ32</f>
        <v>0</v>
      </c>
      <c r="EH32" s="37">
        <f t="shared" ref="EH32:EJ32" si="97">SUM(EH4:EH31)</f>
        <v>0</v>
      </c>
      <c r="EI32" s="37">
        <f t="shared" si="97"/>
        <v>0</v>
      </c>
      <c r="EJ32" s="37">
        <f t="shared" si="97"/>
        <v>0</v>
      </c>
      <c r="EK32" s="37"/>
      <c r="EL32" s="37">
        <f t="shared" ref="EL32" si="98">SUM(EL4:EL31)</f>
        <v>22162</v>
      </c>
      <c r="EM32" s="37"/>
      <c r="EN32" s="37"/>
      <c r="EO32" s="37"/>
      <c r="EP32" s="37"/>
      <c r="EQ32" s="37"/>
    </row>
    <row r="33" spans="1:145" s="8" customFormat="1" x14ac:dyDescent="0.25">
      <c r="A33" s="161"/>
      <c r="B33" s="162"/>
      <c r="C33" s="163"/>
      <c r="D33" s="164"/>
      <c r="E33" s="164"/>
      <c r="F33" s="164"/>
      <c r="G33" s="164"/>
      <c r="H33" s="165"/>
      <c r="I33" s="161"/>
      <c r="J33" s="161"/>
      <c r="K33" s="161"/>
      <c r="L33" s="161"/>
      <c r="M33" s="79"/>
      <c r="N33" s="79"/>
      <c r="O33" s="163"/>
      <c r="P33" s="163"/>
      <c r="Q33" s="163"/>
      <c r="R33" s="163"/>
      <c r="S33" s="79"/>
      <c r="T33" s="79"/>
      <c r="U33" s="79"/>
      <c r="V33" s="79"/>
      <c r="W33" s="79"/>
      <c r="X33" s="79"/>
      <c r="Y33" s="79"/>
      <c r="Z33" s="79"/>
      <c r="AA33" s="79"/>
      <c r="AB33" s="79"/>
      <c r="AC33" s="79"/>
      <c r="AD33" s="79"/>
      <c r="AE33" s="79"/>
      <c r="AF33" s="79"/>
      <c r="AG33" s="79"/>
      <c r="AH33" s="79"/>
      <c r="AI33" s="79"/>
      <c r="AJ33" s="79"/>
      <c r="AK33" s="79"/>
      <c r="AL33" s="79"/>
      <c r="AM33" s="79"/>
      <c r="AN33" s="79"/>
      <c r="AO33" s="166"/>
      <c r="AP33" s="79"/>
      <c r="AQ33" s="79"/>
      <c r="AR33" s="79"/>
      <c r="AS33" s="79"/>
      <c r="AT33" s="79"/>
      <c r="AU33" s="79"/>
      <c r="AV33" s="79"/>
      <c r="AW33" s="79"/>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G33" s="10"/>
      <c r="EH33" s="10"/>
      <c r="EK33" s="10"/>
    </row>
    <row r="34" spans="1:145" s="8" customFormat="1" x14ac:dyDescent="0.25">
      <c r="A34" s="6"/>
      <c r="B34" s="115"/>
      <c r="C34" s="9"/>
      <c r="D34" s="29"/>
      <c r="E34" s="29"/>
      <c r="F34" s="29"/>
      <c r="G34" s="29"/>
      <c r="H34" s="16"/>
      <c r="I34" s="6"/>
      <c r="J34" s="6"/>
      <c r="K34" s="6"/>
      <c r="L34" s="6"/>
      <c r="O34" s="9"/>
      <c r="P34" s="9"/>
      <c r="Q34" s="9"/>
      <c r="R34" s="9"/>
      <c r="AO34" s="10"/>
      <c r="CW34" s="10"/>
      <c r="CX34" s="10"/>
      <c r="CY34" s="10"/>
      <c r="CZ34" s="10"/>
      <c r="DA34" s="10"/>
      <c r="DB34" s="10"/>
      <c r="DC34" s="10"/>
      <c r="DD34" s="10"/>
      <c r="DE34" s="10"/>
      <c r="DF34" s="10"/>
      <c r="DG34" s="10"/>
      <c r="DH34" s="10"/>
      <c r="DI34" s="10"/>
      <c r="DJ34" s="10"/>
      <c r="DK34" s="10"/>
      <c r="DL34" s="10"/>
      <c r="DM34" s="10"/>
      <c r="DN34" s="10"/>
      <c r="DO34" s="10"/>
      <c r="DP34" s="10"/>
      <c r="DQ34" s="10"/>
      <c r="DR34" s="10"/>
      <c r="DS34" s="10"/>
      <c r="DT34" s="10"/>
      <c r="DU34" s="10"/>
      <c r="DV34" s="10"/>
      <c r="DW34" s="10"/>
      <c r="DX34" s="10"/>
      <c r="DY34" s="10"/>
      <c r="DZ34" s="10"/>
      <c r="EA34" s="10"/>
      <c r="EB34" s="10"/>
      <c r="EC34" s="10"/>
      <c r="ED34" s="10"/>
      <c r="EG34" s="10"/>
      <c r="EH34" s="10"/>
      <c r="EK34" s="10"/>
    </row>
    <row r="35" spans="1:145" x14ac:dyDescent="0.25">
      <c r="A35" s="75" t="s">
        <v>399</v>
      </c>
    </row>
    <row r="36" spans="1:145" ht="15" customHeight="1" thickBot="1" x14ac:dyDescent="0.3">
      <c r="B36" s="160" t="s">
        <v>375</v>
      </c>
      <c r="C36" s="158"/>
      <c r="D36" s="158"/>
      <c r="F36" s="88" t="s">
        <v>374</v>
      </c>
      <c r="G36" s="157"/>
      <c r="H36" s="82"/>
      <c r="I36" s="157"/>
      <c r="N36" s="160" t="s">
        <v>376</v>
      </c>
      <c r="O36" s="158"/>
      <c r="P36" s="158"/>
      <c r="Q36" s="158"/>
      <c r="R36" s="158"/>
      <c r="AP36" s="160" t="s">
        <v>415</v>
      </c>
      <c r="AQ36" s="158"/>
      <c r="AR36" s="159"/>
      <c r="AU36" s="1"/>
      <c r="AV36" s="160" t="s">
        <v>416</v>
      </c>
      <c r="AW36" s="160"/>
      <c r="AX36" s="158"/>
      <c r="AY36" s="158"/>
      <c r="AZ36" s="158"/>
      <c r="BA36" s="203"/>
      <c r="BB36" s="203"/>
      <c r="BC36" s="203"/>
      <c r="BD36" s="203"/>
    </row>
    <row r="37" spans="1:145" s="121" customFormat="1" ht="68.45" customHeight="1" x14ac:dyDescent="0.25">
      <c r="A37" s="124"/>
      <c r="B37" s="127" t="s">
        <v>356</v>
      </c>
      <c r="C37" s="129" t="s">
        <v>338</v>
      </c>
      <c r="D37" s="128" t="s">
        <v>358</v>
      </c>
      <c r="F37" s="139" t="s">
        <v>263</v>
      </c>
      <c r="G37" s="140" t="s">
        <v>261</v>
      </c>
      <c r="H37" s="141" t="s">
        <v>264</v>
      </c>
      <c r="I37" s="140" t="s">
        <v>262</v>
      </c>
      <c r="J37" s="129" t="s">
        <v>417</v>
      </c>
      <c r="K37" s="129" t="s">
        <v>411</v>
      </c>
      <c r="L37" s="143" t="s">
        <v>413</v>
      </c>
      <c r="N37" s="127" t="s">
        <v>316</v>
      </c>
      <c r="O37" s="129" t="s">
        <v>339</v>
      </c>
      <c r="P37" s="129" t="s">
        <v>341</v>
      </c>
      <c r="Q37" s="129" t="s">
        <v>340</v>
      </c>
      <c r="R37" s="128" t="s">
        <v>414</v>
      </c>
      <c r="AP37" s="242" t="s">
        <v>315</v>
      </c>
      <c r="AQ37" s="142"/>
      <c r="AR37" s="141"/>
      <c r="AS37" s="129"/>
      <c r="AT37" s="129"/>
      <c r="AU37" s="129"/>
      <c r="AV37" s="129" t="s">
        <v>406</v>
      </c>
      <c r="AW37" s="129" t="s">
        <v>408</v>
      </c>
      <c r="AX37" s="129" t="s">
        <v>407</v>
      </c>
      <c r="AY37" s="129" t="s">
        <v>410</v>
      </c>
      <c r="AZ37" s="129" t="s">
        <v>409</v>
      </c>
      <c r="BA37" s="129" t="s">
        <v>412</v>
      </c>
      <c r="BB37" s="142" t="s">
        <v>315</v>
      </c>
      <c r="BC37" s="142"/>
      <c r="BD37" s="243"/>
      <c r="BF37" s="111"/>
      <c r="BG37" s="111"/>
      <c r="BH37" s="111"/>
      <c r="BI37" s="111"/>
      <c r="BJ37" s="111"/>
      <c r="BK37" s="111"/>
      <c r="BL37" s="111"/>
      <c r="BM37" s="111"/>
      <c r="BN37" s="111"/>
      <c r="BO37" s="111"/>
      <c r="BP37" s="111"/>
      <c r="BQ37" s="111"/>
      <c r="BR37" s="111"/>
      <c r="BS37" s="111"/>
      <c r="BT37" s="111"/>
      <c r="BU37" s="111"/>
      <c r="BV37" s="111"/>
      <c r="BW37" s="111"/>
      <c r="BX37" s="111"/>
      <c r="BY37" s="111"/>
      <c r="BZ37" s="111"/>
      <c r="CA37" s="111"/>
      <c r="CB37" s="111"/>
      <c r="CC37" s="111"/>
      <c r="CD37" s="111"/>
      <c r="CE37" s="111"/>
      <c r="CF37" s="111"/>
      <c r="CG37" s="111"/>
      <c r="CH37" s="111"/>
      <c r="CI37" s="111"/>
      <c r="CJ37" s="111"/>
      <c r="CK37" s="111"/>
      <c r="CL37" s="111"/>
      <c r="CM37" s="111"/>
      <c r="CN37" s="111"/>
      <c r="CO37" s="111"/>
      <c r="CP37" s="111"/>
      <c r="CQ37" s="111"/>
      <c r="CR37" s="111"/>
      <c r="CS37" s="111"/>
      <c r="CT37" s="111"/>
      <c r="CU37" s="111"/>
      <c r="CV37" s="111"/>
      <c r="EL37" s="111"/>
      <c r="EM37" s="111"/>
      <c r="EN37" s="111"/>
      <c r="EO37" s="111"/>
    </row>
    <row r="38" spans="1:145" s="2" customFormat="1" ht="15.75" x14ac:dyDescent="0.25">
      <c r="A38" s="13"/>
      <c r="B38" s="144" t="s">
        <v>255</v>
      </c>
      <c r="C38" s="204">
        <f>BJ32</f>
        <v>19.813479623824453</v>
      </c>
      <c r="D38" s="144" t="s">
        <v>362</v>
      </c>
      <c r="F38" s="144" t="s">
        <v>265</v>
      </c>
      <c r="G38" s="133">
        <v>7.1563500000000002E-2</v>
      </c>
      <c r="H38" s="208">
        <v>1</v>
      </c>
      <c r="I38" s="182">
        <f t="shared" ref="I38:I44" si="99">H38*AR38</f>
        <v>0.10733183352080991</v>
      </c>
      <c r="J38" s="255">
        <v>7.1563500000000002E-2</v>
      </c>
      <c r="K38" s="182">
        <f>(J38/SUM(J$38:J$44))*40.5%</f>
        <v>7.0620627437746275E-2</v>
      </c>
      <c r="L38" s="145">
        <f t="shared" ref="L38:L44" si="100">BA38*BD38</f>
        <v>0.11115445129335015</v>
      </c>
      <c r="N38" s="231">
        <f>VLOOKUP(C$6,References!$A$116:$AS$124,27,FALSE)</f>
        <v>3.0622222222222222</v>
      </c>
      <c r="O38" s="232">
        <f>C38/N38</f>
        <v>6.4702945070544295</v>
      </c>
      <c r="P38" s="232">
        <f t="shared" ref="P38:P41" si="101">IF(O38&gt;1,1,IF(O38&lt;0,0,O38))</f>
        <v>1</v>
      </c>
      <c r="Q38" s="201">
        <f>P38*I38</f>
        <v>0.10733183352080991</v>
      </c>
      <c r="R38" s="233">
        <f>P38*L38</f>
        <v>0.11115445129335015</v>
      </c>
      <c r="AP38" s="244">
        <f t="shared" ref="AP38:AP44" si="102">(IF(H38=0,G38,0))</f>
        <v>0</v>
      </c>
      <c r="AQ38" s="123">
        <f t="shared" ref="AQ38:AQ44" si="103">(IF(H38&gt;0,G38,0))</f>
        <v>7.1563500000000002E-2</v>
      </c>
      <c r="AR38" s="123">
        <f t="shared" ref="AR38:AR44" si="104">(G38*H$45)+G38</f>
        <v>0.10733183352080991</v>
      </c>
      <c r="AV38" s="133">
        <f t="shared" ref="AV38:AV44" si="105">IF(ISNUMBER(J38),J38,G38)</f>
        <v>7.1563500000000002E-2</v>
      </c>
      <c r="AW38" s="167">
        <f t="shared" ref="AW38:AW44" si="106">IF(G38=AV38,0,1)</f>
        <v>0</v>
      </c>
      <c r="AX38" s="175">
        <f t="shared" ref="AX38:AX44" si="107">G38-AV38</f>
        <v>0</v>
      </c>
      <c r="AY38" s="123">
        <f t="shared" ref="AY38:AY44" si="108">(IF(AW38=0,AV38,0))</f>
        <v>7.1563500000000002E-2</v>
      </c>
      <c r="AZ38" s="123">
        <f t="shared" ref="AZ38:AZ44" si="109">(AV38*AW$45)+AV38</f>
        <v>6.941856549556627E-2</v>
      </c>
      <c r="BA38" s="2">
        <f t="shared" ref="BA38:BA44" si="110">H38</f>
        <v>1</v>
      </c>
      <c r="BB38" s="123">
        <f t="shared" ref="BB38:BB44" si="111">(IF(BA38=0,K38,0))</f>
        <v>0</v>
      </c>
      <c r="BC38" s="123">
        <f t="shared" ref="BC38:BC44" si="112">(IF(BA38&gt;0,K38,0))</f>
        <v>7.0620627437746275E-2</v>
      </c>
      <c r="BD38" s="245">
        <f t="shared" ref="BD38:BD44" si="113">(K38*BA$45)+K38</f>
        <v>0.11115445129335015</v>
      </c>
      <c r="BF38" s="115"/>
      <c r="BG38" s="115"/>
      <c r="BH38" s="115"/>
      <c r="BI38" s="115"/>
      <c r="BJ38" s="115"/>
      <c r="BK38" s="115"/>
      <c r="BL38" s="115"/>
      <c r="BM38" s="115"/>
      <c r="BN38" s="115"/>
      <c r="BO38" s="115"/>
      <c r="BP38" s="115"/>
      <c r="BQ38" s="115"/>
      <c r="BR38" s="115"/>
      <c r="BS38" s="115"/>
      <c r="BT38" s="115"/>
      <c r="BU38" s="115"/>
      <c r="BV38" s="115"/>
      <c r="BW38" s="115"/>
      <c r="BX38" s="115"/>
      <c r="BY38" s="115"/>
      <c r="BZ38" s="115"/>
      <c r="CA38" s="115"/>
      <c r="CB38" s="115"/>
      <c r="CC38" s="115"/>
      <c r="CD38" s="115"/>
      <c r="CE38" s="115"/>
      <c r="CF38" s="115"/>
      <c r="CG38" s="115"/>
      <c r="CH38" s="115"/>
      <c r="CI38" s="115"/>
      <c r="CJ38" s="115"/>
      <c r="CK38" s="115"/>
      <c r="CL38" s="115"/>
      <c r="CM38" s="115"/>
      <c r="CN38" s="115"/>
      <c r="CO38" s="115"/>
      <c r="CP38" s="115"/>
      <c r="CQ38" s="115"/>
      <c r="CR38" s="115"/>
      <c r="CS38" s="115"/>
      <c r="CT38" s="115"/>
      <c r="CU38" s="115"/>
      <c r="CV38" s="115"/>
      <c r="EL38" s="115"/>
      <c r="EM38" s="115"/>
      <c r="EN38" s="115"/>
      <c r="EO38" s="115"/>
    </row>
    <row r="39" spans="1:145" s="2" customFormat="1" ht="15.75" x14ac:dyDescent="0.25">
      <c r="A39" s="13"/>
      <c r="B39" s="144" t="s">
        <v>259</v>
      </c>
      <c r="C39" s="205">
        <f>BH32-AZ32</f>
        <v>120030</v>
      </c>
      <c r="D39" s="144" t="s">
        <v>359</v>
      </c>
      <c r="F39" s="144" t="s">
        <v>16</v>
      </c>
      <c r="G39" s="133">
        <v>8.3105999999999985E-2</v>
      </c>
      <c r="H39" s="208">
        <v>1</v>
      </c>
      <c r="I39" s="182">
        <f t="shared" si="99"/>
        <v>0.1246434195725534</v>
      </c>
      <c r="J39" s="255">
        <v>0.1</v>
      </c>
      <c r="K39" s="182">
        <f t="shared" ref="K39:K44" si="114">(J39/SUM(J$38:J$44))*40.5%</f>
        <v>9.8682467232243082E-2</v>
      </c>
      <c r="L39" s="145">
        <f t="shared" si="100"/>
        <v>0.15532282699050515</v>
      </c>
      <c r="N39" s="234">
        <f>VLOOKUP(C$6,References!$A$116:$AS$124,26,FALSE)</f>
        <v>47800</v>
      </c>
      <c r="O39" s="232">
        <f>C39/N39</f>
        <v>2.5110878661087868</v>
      </c>
      <c r="P39" s="232">
        <f t="shared" si="101"/>
        <v>1</v>
      </c>
      <c r="Q39" s="201">
        <f>P39*I39</f>
        <v>0.1246434195725534</v>
      </c>
      <c r="R39" s="233">
        <f>P39*L39</f>
        <v>0.15532282699050515</v>
      </c>
      <c r="AP39" s="244">
        <f t="shared" si="102"/>
        <v>0</v>
      </c>
      <c r="AQ39" s="123">
        <f t="shared" si="103"/>
        <v>8.3105999999999985E-2</v>
      </c>
      <c r="AR39" s="123">
        <f t="shared" si="104"/>
        <v>0.1246434195725534</v>
      </c>
      <c r="AV39" s="133">
        <f t="shared" si="105"/>
        <v>0.1</v>
      </c>
      <c r="AW39" s="167">
        <f t="shared" si="106"/>
        <v>1</v>
      </c>
      <c r="AX39" s="175">
        <f t="shared" si="107"/>
        <v>-1.689400000000002E-2</v>
      </c>
      <c r="AY39" s="123">
        <f t="shared" si="108"/>
        <v>0</v>
      </c>
      <c r="AZ39" s="123">
        <f t="shared" si="109"/>
        <v>9.7002753492445554E-2</v>
      </c>
      <c r="BA39" s="2">
        <f t="shared" si="110"/>
        <v>1</v>
      </c>
      <c r="BB39" s="123">
        <f t="shared" si="111"/>
        <v>0</v>
      </c>
      <c r="BC39" s="123">
        <f t="shared" si="112"/>
        <v>9.8682467232243082E-2</v>
      </c>
      <c r="BD39" s="245">
        <f t="shared" si="113"/>
        <v>0.15532282699050515</v>
      </c>
      <c r="BF39" s="115"/>
      <c r="BG39" s="115"/>
      <c r="BH39" s="115"/>
      <c r="BI39" s="115"/>
      <c r="BJ39" s="115"/>
      <c r="BK39" s="115"/>
      <c r="BL39" s="115"/>
      <c r="BM39" s="115"/>
      <c r="BN39" s="115"/>
      <c r="BO39" s="115"/>
      <c r="BP39" s="115"/>
      <c r="BQ39" s="115"/>
      <c r="BR39" s="115"/>
      <c r="BS39" s="115"/>
      <c r="BT39" s="115"/>
      <c r="BU39" s="115"/>
      <c r="BV39" s="115"/>
      <c r="BW39" s="115"/>
      <c r="BX39" s="115"/>
      <c r="BY39" s="115"/>
      <c r="BZ39" s="115"/>
      <c r="CA39" s="115"/>
      <c r="CB39" s="115"/>
      <c r="CC39" s="115"/>
      <c r="CD39" s="115"/>
      <c r="CE39" s="115"/>
      <c r="CF39" s="115"/>
      <c r="CG39" s="115"/>
      <c r="CH39" s="115"/>
      <c r="CI39" s="115"/>
      <c r="CJ39" s="115"/>
      <c r="CK39" s="115"/>
      <c r="CL39" s="115"/>
      <c r="CM39" s="115"/>
      <c r="CN39" s="115"/>
      <c r="CO39" s="115"/>
      <c r="CP39" s="115"/>
      <c r="CQ39" s="115"/>
      <c r="CR39" s="115"/>
      <c r="CS39" s="115"/>
      <c r="CT39" s="115"/>
      <c r="CU39" s="115"/>
      <c r="CV39" s="115"/>
      <c r="EL39" s="115"/>
      <c r="EM39" s="115"/>
      <c r="EN39" s="115"/>
      <c r="EO39" s="115"/>
    </row>
    <row r="40" spans="1:145" s="2" customFormat="1" ht="15.75" x14ac:dyDescent="0.25">
      <c r="A40" s="13"/>
      <c r="B40" s="144" t="s">
        <v>335</v>
      </c>
      <c r="C40" s="205">
        <f>AY32</f>
        <v>38293</v>
      </c>
      <c r="D40" s="144" t="s">
        <v>359</v>
      </c>
      <c r="F40" s="144" t="s">
        <v>266</v>
      </c>
      <c r="G40" s="133">
        <v>7.6180499999999998E-2</v>
      </c>
      <c r="H40" s="208">
        <v>1</v>
      </c>
      <c r="I40" s="182">
        <f t="shared" si="99"/>
        <v>0.11425646794150732</v>
      </c>
      <c r="J40" s="255">
        <v>0.05</v>
      </c>
      <c r="K40" s="182">
        <f t="shared" si="114"/>
        <v>4.9341233616121541E-2</v>
      </c>
      <c r="L40" s="145">
        <f t="shared" si="100"/>
        <v>7.7661413495252574E-2</v>
      </c>
      <c r="N40" s="234">
        <f>VLOOKUP(C$6,References!$A$116:$AS$124,23,FALSE)</f>
        <v>90000</v>
      </c>
      <c r="O40" s="232">
        <f>(N40-C40)/N40</f>
        <v>0.57452222222222227</v>
      </c>
      <c r="P40" s="232">
        <f t="shared" si="101"/>
        <v>0.57452222222222227</v>
      </c>
      <c r="Q40" s="201">
        <f>P40*I40</f>
        <v>6.5642879865016879E-2</v>
      </c>
      <c r="R40" s="233">
        <f>P40*L40</f>
        <v>4.4618207862211393E-2</v>
      </c>
      <c r="AP40" s="244">
        <f t="shared" si="102"/>
        <v>0</v>
      </c>
      <c r="AQ40" s="123">
        <f t="shared" si="103"/>
        <v>7.6180499999999998E-2</v>
      </c>
      <c r="AR40" s="123">
        <f t="shared" si="104"/>
        <v>0.11425646794150732</v>
      </c>
      <c r="AV40" s="133">
        <f t="shared" si="105"/>
        <v>0.05</v>
      </c>
      <c r="AW40" s="167">
        <f t="shared" si="106"/>
        <v>1</v>
      </c>
      <c r="AX40" s="175">
        <f t="shared" si="107"/>
        <v>2.6180499999999995E-2</v>
      </c>
      <c r="AY40" s="123">
        <f t="shared" si="108"/>
        <v>0</v>
      </c>
      <c r="AZ40" s="123">
        <f t="shared" si="109"/>
        <v>4.8501376746222777E-2</v>
      </c>
      <c r="BA40" s="2">
        <f t="shared" si="110"/>
        <v>1</v>
      </c>
      <c r="BB40" s="123">
        <f t="shared" si="111"/>
        <v>0</v>
      </c>
      <c r="BC40" s="123">
        <f t="shared" si="112"/>
        <v>4.9341233616121541E-2</v>
      </c>
      <c r="BD40" s="245">
        <f t="shared" si="113"/>
        <v>7.7661413495252574E-2</v>
      </c>
      <c r="BF40" s="115"/>
      <c r="BG40" s="115"/>
      <c r="BH40" s="115"/>
      <c r="BI40" s="115"/>
      <c r="BJ40" s="115"/>
      <c r="BK40" s="115"/>
      <c r="BL40" s="115"/>
      <c r="BM40" s="115"/>
      <c r="BN40" s="115"/>
      <c r="BO40" s="115"/>
      <c r="BP40" s="115"/>
      <c r="BQ40" s="115"/>
      <c r="BR40" s="115"/>
      <c r="BS40" s="115"/>
      <c r="BT40" s="115"/>
      <c r="BU40" s="115"/>
      <c r="BV40" s="115"/>
      <c r="BW40" s="115"/>
      <c r="BX40" s="115"/>
      <c r="BY40" s="115"/>
      <c r="BZ40" s="115"/>
      <c r="CA40" s="115"/>
      <c r="CB40" s="115"/>
      <c r="CC40" s="115"/>
      <c r="CD40" s="115"/>
      <c r="CE40" s="115"/>
      <c r="CF40" s="115"/>
      <c r="CG40" s="115"/>
      <c r="CH40" s="115"/>
      <c r="CI40" s="115"/>
      <c r="CJ40" s="115"/>
      <c r="CK40" s="115"/>
      <c r="CL40" s="115"/>
      <c r="CM40" s="115"/>
      <c r="CN40" s="115"/>
      <c r="CO40" s="115"/>
      <c r="CP40" s="115"/>
      <c r="CQ40" s="115"/>
      <c r="CR40" s="115"/>
      <c r="CS40" s="115"/>
      <c r="CT40" s="115"/>
      <c r="CU40" s="115"/>
      <c r="CV40" s="115"/>
      <c r="EL40" s="115"/>
      <c r="EM40" s="115"/>
      <c r="EN40" s="115"/>
      <c r="EO40" s="115"/>
    </row>
    <row r="41" spans="1:145" s="2" customFormat="1" ht="30" x14ac:dyDescent="0.25">
      <c r="A41" s="13"/>
      <c r="B41" s="144" t="s">
        <v>337</v>
      </c>
      <c r="C41" s="204">
        <f>(CJ32+CK32+CL32)/3</f>
        <v>1.3530595378376435</v>
      </c>
      <c r="D41" s="144" t="s">
        <v>362</v>
      </c>
      <c r="F41" s="144" t="s">
        <v>267</v>
      </c>
      <c r="G41" s="133">
        <v>3.9183750000000003E-2</v>
      </c>
      <c r="H41" s="208">
        <v>1</v>
      </c>
      <c r="I41" s="182">
        <f t="shared" si="99"/>
        <v>5.8768278965129359E-2</v>
      </c>
      <c r="J41" s="255">
        <v>3.9183750000000003E-2</v>
      </c>
      <c r="K41" s="182">
        <f t="shared" si="114"/>
        <v>3.8667491254114048E-2</v>
      </c>
      <c r="L41" s="145">
        <f t="shared" si="100"/>
        <v>6.0861308220892057E-2</v>
      </c>
      <c r="N41" s="231">
        <v>1</v>
      </c>
      <c r="O41" s="232">
        <f>C41/N41</f>
        <v>1.3530595378376435</v>
      </c>
      <c r="P41" s="232">
        <f t="shared" si="101"/>
        <v>1</v>
      </c>
      <c r="Q41" s="201">
        <f>P41*I41</f>
        <v>5.8768278965129359E-2</v>
      </c>
      <c r="R41" s="233">
        <f>P41*L41</f>
        <v>6.0861308220892057E-2</v>
      </c>
      <c r="AP41" s="244">
        <f t="shared" si="102"/>
        <v>0</v>
      </c>
      <c r="AQ41" s="123">
        <f t="shared" si="103"/>
        <v>3.9183750000000003E-2</v>
      </c>
      <c r="AR41" s="123">
        <f t="shared" si="104"/>
        <v>5.8768278965129359E-2</v>
      </c>
      <c r="AV41" s="133">
        <f t="shared" si="105"/>
        <v>3.9183750000000003E-2</v>
      </c>
      <c r="AW41" s="167">
        <f t="shared" si="106"/>
        <v>0</v>
      </c>
      <c r="AX41" s="175">
        <f t="shared" si="107"/>
        <v>0</v>
      </c>
      <c r="AY41" s="123">
        <f t="shared" si="108"/>
        <v>3.9183750000000003E-2</v>
      </c>
      <c r="AZ41" s="123">
        <f t="shared" si="109"/>
        <v>3.8009316421596141E-2</v>
      </c>
      <c r="BA41" s="2">
        <f t="shared" si="110"/>
        <v>1</v>
      </c>
      <c r="BB41" s="123">
        <f t="shared" si="111"/>
        <v>0</v>
      </c>
      <c r="BC41" s="123">
        <f t="shared" si="112"/>
        <v>3.8667491254114048E-2</v>
      </c>
      <c r="BD41" s="245">
        <f t="shared" si="113"/>
        <v>6.0861308220892057E-2</v>
      </c>
      <c r="BF41" s="115"/>
      <c r="BG41" s="115"/>
      <c r="BH41" s="115"/>
      <c r="BI41" s="115"/>
      <c r="BJ41" s="115"/>
      <c r="BK41" s="115"/>
      <c r="BL41" s="115"/>
      <c r="BM41" s="115"/>
      <c r="BN41" s="115"/>
      <c r="BO41" s="115"/>
      <c r="BP41" s="115"/>
      <c r="BQ41" s="115"/>
      <c r="BR41" s="115"/>
      <c r="BS41" s="115"/>
      <c r="BT41" s="115"/>
      <c r="BU41" s="115"/>
      <c r="BV41" s="115"/>
      <c r="BW41" s="115"/>
      <c r="BX41" s="115"/>
      <c r="BY41" s="115"/>
      <c r="BZ41" s="115"/>
      <c r="CA41" s="115"/>
      <c r="CB41" s="115"/>
      <c r="CC41" s="115"/>
      <c r="CD41" s="115"/>
      <c r="CE41" s="115"/>
      <c r="CF41" s="115"/>
      <c r="CG41" s="115"/>
      <c r="CH41" s="115"/>
      <c r="CI41" s="115"/>
      <c r="CJ41" s="115"/>
      <c r="CK41" s="115"/>
      <c r="CL41" s="115"/>
      <c r="CM41" s="115"/>
      <c r="CN41" s="115"/>
      <c r="CO41" s="115"/>
      <c r="CP41" s="115"/>
      <c r="CQ41" s="115"/>
      <c r="CR41" s="115"/>
      <c r="CS41" s="115"/>
      <c r="CT41" s="115"/>
      <c r="CU41" s="115"/>
      <c r="CV41" s="115"/>
      <c r="EL41" s="115"/>
      <c r="EM41" s="115"/>
      <c r="EN41" s="115"/>
      <c r="EO41" s="115"/>
    </row>
    <row r="42" spans="1:145" s="2" customFormat="1" ht="15.75" x14ac:dyDescent="0.25">
      <c r="A42" s="13"/>
      <c r="B42" s="144"/>
      <c r="C42" s="206"/>
      <c r="D42" s="144"/>
      <c r="F42" s="144" t="s">
        <v>269</v>
      </c>
      <c r="G42" s="133">
        <v>6.530625000000001E-2</v>
      </c>
      <c r="H42" s="208"/>
      <c r="I42" s="182">
        <f t="shared" si="99"/>
        <v>0</v>
      </c>
      <c r="J42" s="255">
        <v>0.08</v>
      </c>
      <c r="K42" s="182">
        <f t="shared" si="114"/>
        <v>7.894597378579446E-2</v>
      </c>
      <c r="L42" s="145">
        <f t="shared" si="100"/>
        <v>0</v>
      </c>
      <c r="N42" s="231"/>
      <c r="O42" s="202"/>
      <c r="P42" s="202"/>
      <c r="Q42" s="201"/>
      <c r="R42" s="233"/>
      <c r="AP42" s="244">
        <f t="shared" si="102"/>
        <v>6.530625000000001E-2</v>
      </c>
      <c r="AQ42" s="123">
        <f t="shared" si="103"/>
        <v>0</v>
      </c>
      <c r="AR42" s="123">
        <f t="shared" si="104"/>
        <v>9.7947131608548954E-2</v>
      </c>
      <c r="AV42" s="133">
        <f t="shared" si="105"/>
        <v>0.08</v>
      </c>
      <c r="AW42" s="167">
        <f t="shared" si="106"/>
        <v>1</v>
      </c>
      <c r="AX42" s="175">
        <f t="shared" si="107"/>
        <v>-1.4693749999999992E-2</v>
      </c>
      <c r="AY42" s="123">
        <f t="shared" si="108"/>
        <v>0</v>
      </c>
      <c r="AZ42" s="123">
        <f t="shared" si="109"/>
        <v>7.7602202793956451E-2</v>
      </c>
      <c r="BA42" s="2">
        <f t="shared" si="110"/>
        <v>0</v>
      </c>
      <c r="BB42" s="123">
        <f t="shared" si="111"/>
        <v>7.894597378579446E-2</v>
      </c>
      <c r="BC42" s="123">
        <f t="shared" si="112"/>
        <v>0</v>
      </c>
      <c r="BD42" s="245">
        <f t="shared" si="113"/>
        <v>0.12425826159240411</v>
      </c>
      <c r="BF42" s="115"/>
      <c r="BG42" s="115"/>
      <c r="BH42" s="115"/>
      <c r="BI42" s="115"/>
      <c r="BJ42" s="115"/>
      <c r="BK42" s="115"/>
      <c r="BL42" s="115"/>
      <c r="BM42" s="115"/>
      <c r="BN42" s="115"/>
      <c r="BO42" s="115"/>
      <c r="BP42" s="115"/>
      <c r="BQ42" s="115"/>
      <c r="BR42" s="115"/>
      <c r="BS42" s="115"/>
      <c r="BT42" s="115"/>
      <c r="BU42" s="115"/>
      <c r="BV42" s="115"/>
      <c r="BW42" s="115"/>
      <c r="BX42" s="115"/>
      <c r="BY42" s="115"/>
      <c r="BZ42" s="115"/>
      <c r="CA42" s="115"/>
      <c r="CB42" s="115"/>
      <c r="CC42" s="115"/>
      <c r="CD42" s="115"/>
      <c r="CE42" s="115"/>
      <c r="CF42" s="115"/>
      <c r="CG42" s="115"/>
      <c r="CH42" s="115"/>
      <c r="CI42" s="115"/>
      <c r="CJ42" s="115"/>
      <c r="CK42" s="115"/>
      <c r="CL42" s="115"/>
      <c r="CM42" s="115"/>
      <c r="CN42" s="115"/>
      <c r="CO42" s="115"/>
      <c r="CP42" s="115"/>
      <c r="CQ42" s="115"/>
      <c r="CR42" s="115"/>
      <c r="CS42" s="115"/>
      <c r="CT42" s="115"/>
      <c r="CU42" s="115"/>
      <c r="CV42" s="115"/>
      <c r="EL42" s="115"/>
      <c r="EM42" s="115"/>
      <c r="EN42" s="115"/>
      <c r="EO42" s="115"/>
    </row>
    <row r="43" spans="1:145" s="2" customFormat="1" ht="15.75" x14ac:dyDescent="0.25">
      <c r="A43" s="13"/>
      <c r="B43" s="144"/>
      <c r="C43" s="206"/>
      <c r="D43" s="144"/>
      <c r="F43" s="144" t="s">
        <v>270</v>
      </c>
      <c r="G43" s="133">
        <v>3.4830000000000007E-2</v>
      </c>
      <c r="H43" s="208"/>
      <c r="I43" s="182">
        <f t="shared" si="99"/>
        <v>0</v>
      </c>
      <c r="J43" s="255">
        <v>3.4830000000000007E-2</v>
      </c>
      <c r="K43" s="182">
        <f t="shared" si="114"/>
        <v>3.4371103336990269E-2</v>
      </c>
      <c r="L43" s="145">
        <f t="shared" si="100"/>
        <v>0</v>
      </c>
      <c r="N43" s="231"/>
      <c r="O43" s="202"/>
      <c r="P43" s="202"/>
      <c r="Q43" s="201"/>
      <c r="R43" s="233"/>
      <c r="AP43" s="244">
        <f t="shared" si="102"/>
        <v>3.4830000000000007E-2</v>
      </c>
      <c r="AQ43" s="123">
        <f t="shared" si="103"/>
        <v>0</v>
      </c>
      <c r="AR43" s="123">
        <f t="shared" si="104"/>
        <v>5.2238470191226107E-2</v>
      </c>
      <c r="AV43" s="133">
        <f t="shared" si="105"/>
        <v>3.4830000000000007E-2</v>
      </c>
      <c r="AW43" s="167">
        <f t="shared" si="106"/>
        <v>0</v>
      </c>
      <c r="AX43" s="175">
        <f t="shared" si="107"/>
        <v>0</v>
      </c>
      <c r="AY43" s="123">
        <f t="shared" si="108"/>
        <v>3.4830000000000007E-2</v>
      </c>
      <c r="AZ43" s="123">
        <f t="shared" si="109"/>
        <v>3.3786059041418792E-2</v>
      </c>
      <c r="BA43" s="2">
        <f t="shared" si="110"/>
        <v>0</v>
      </c>
      <c r="BB43" s="123">
        <f t="shared" si="111"/>
        <v>3.4371103336990269E-2</v>
      </c>
      <c r="BC43" s="123">
        <f t="shared" si="112"/>
        <v>0</v>
      </c>
      <c r="BD43" s="245">
        <f t="shared" si="113"/>
        <v>5.4098940640792952E-2</v>
      </c>
      <c r="BF43" s="115"/>
      <c r="BG43" s="115"/>
      <c r="BH43" s="115"/>
      <c r="BI43" s="115"/>
      <c r="BJ43" s="115"/>
      <c r="BK43" s="115"/>
      <c r="BL43" s="115"/>
      <c r="BM43" s="115"/>
      <c r="BN43" s="115"/>
      <c r="BO43" s="115"/>
      <c r="BP43" s="115"/>
      <c r="BQ43" s="115"/>
      <c r="BR43" s="115"/>
      <c r="BS43" s="115"/>
      <c r="BT43" s="115"/>
      <c r="BU43" s="115"/>
      <c r="BV43" s="115"/>
      <c r="BW43" s="115"/>
      <c r="BX43" s="115"/>
      <c r="BY43" s="115"/>
      <c r="BZ43" s="115"/>
      <c r="CA43" s="115"/>
      <c r="CB43" s="115"/>
      <c r="CC43" s="115"/>
      <c r="CD43" s="115"/>
      <c r="CE43" s="115"/>
      <c r="CF43" s="115"/>
      <c r="CG43" s="115"/>
      <c r="CH43" s="115"/>
      <c r="CI43" s="115"/>
      <c r="CJ43" s="115"/>
      <c r="CK43" s="115"/>
      <c r="CL43" s="115"/>
      <c r="CM43" s="115"/>
      <c r="CN43" s="115"/>
      <c r="CO43" s="115"/>
      <c r="CP43" s="115"/>
      <c r="CQ43" s="115"/>
      <c r="CR43" s="115"/>
      <c r="CS43" s="115"/>
      <c r="CT43" s="115"/>
      <c r="CU43" s="115"/>
      <c r="CV43" s="115"/>
      <c r="EL43" s="115"/>
      <c r="EM43" s="115"/>
      <c r="EN43" s="115"/>
      <c r="EO43" s="115"/>
    </row>
    <row r="44" spans="1:145" s="2" customFormat="1" ht="30" x14ac:dyDescent="0.25">
      <c r="A44" s="13"/>
      <c r="B44" s="144"/>
      <c r="C44" s="206"/>
      <c r="D44" s="144"/>
      <c r="F44" s="144" t="s">
        <v>271</v>
      </c>
      <c r="G44" s="133">
        <v>3.4830000000000007E-2</v>
      </c>
      <c r="H44" s="208"/>
      <c r="I44" s="182">
        <f t="shared" si="99"/>
        <v>0</v>
      </c>
      <c r="J44" s="255">
        <v>3.4830000000000007E-2</v>
      </c>
      <c r="K44" s="182">
        <f t="shared" si="114"/>
        <v>3.4371103336990269E-2</v>
      </c>
      <c r="L44" s="145">
        <f t="shared" si="100"/>
        <v>0</v>
      </c>
      <c r="N44" s="231"/>
      <c r="O44" s="202"/>
      <c r="P44" s="202"/>
      <c r="Q44" s="201"/>
      <c r="R44" s="233"/>
      <c r="AP44" s="244">
        <f t="shared" si="102"/>
        <v>3.4830000000000007E-2</v>
      </c>
      <c r="AQ44" s="123">
        <f t="shared" si="103"/>
        <v>0</v>
      </c>
      <c r="AR44" s="123">
        <f t="shared" si="104"/>
        <v>5.2238470191226107E-2</v>
      </c>
      <c r="AV44" s="133">
        <f t="shared" si="105"/>
        <v>3.4830000000000007E-2</v>
      </c>
      <c r="AW44" s="167">
        <f t="shared" si="106"/>
        <v>0</v>
      </c>
      <c r="AX44" s="175">
        <f t="shared" si="107"/>
        <v>0</v>
      </c>
      <c r="AY44" s="123">
        <f t="shared" si="108"/>
        <v>3.4830000000000007E-2</v>
      </c>
      <c r="AZ44" s="123">
        <f t="shared" si="109"/>
        <v>3.3786059041418792E-2</v>
      </c>
      <c r="BA44" s="2">
        <f t="shared" si="110"/>
        <v>0</v>
      </c>
      <c r="BB44" s="123">
        <f t="shared" si="111"/>
        <v>3.4371103336990269E-2</v>
      </c>
      <c r="BC44" s="123">
        <f t="shared" si="112"/>
        <v>0</v>
      </c>
      <c r="BD44" s="245">
        <f t="shared" si="113"/>
        <v>5.4098940640792952E-2</v>
      </c>
      <c r="BF44" s="115"/>
      <c r="BG44" s="115"/>
      <c r="BH44" s="115"/>
      <c r="BI44" s="115"/>
      <c r="BJ44" s="115"/>
      <c r="BK44" s="115"/>
      <c r="BL44" s="115"/>
      <c r="BM44" s="115"/>
      <c r="BN44" s="115"/>
      <c r="BO44" s="115"/>
      <c r="BP44" s="115"/>
      <c r="BQ44" s="115"/>
      <c r="BR44" s="115"/>
      <c r="BS44" s="115"/>
      <c r="BT44" s="115"/>
      <c r="BU44" s="115"/>
      <c r="BV44" s="115"/>
      <c r="BW44" s="115"/>
      <c r="BX44" s="115"/>
      <c r="BY44" s="115"/>
      <c r="BZ44" s="115"/>
      <c r="CA44" s="115"/>
      <c r="CB44" s="115"/>
      <c r="CC44" s="115"/>
      <c r="CD44" s="115"/>
      <c r="CE44" s="115"/>
      <c r="CF44" s="115"/>
      <c r="CG44" s="115"/>
      <c r="CH44" s="115"/>
      <c r="CI44" s="115"/>
      <c r="CJ44" s="115"/>
      <c r="CK44" s="115"/>
      <c r="CL44" s="115"/>
      <c r="CM44" s="115"/>
      <c r="CN44" s="115"/>
      <c r="CO44" s="115"/>
      <c r="CP44" s="115"/>
      <c r="CQ44" s="115"/>
      <c r="CR44" s="115"/>
      <c r="CS44" s="115"/>
      <c r="CT44" s="115"/>
      <c r="CU44" s="115"/>
      <c r="CV44" s="115"/>
      <c r="EL44" s="115"/>
      <c r="EM44" s="115"/>
      <c r="EN44" s="115"/>
      <c r="EO44" s="115"/>
    </row>
    <row r="45" spans="1:145" s="121" customFormat="1" ht="15.75" x14ac:dyDescent="0.25">
      <c r="A45" s="124"/>
      <c r="B45" s="180"/>
      <c r="C45" s="206"/>
      <c r="D45" s="180"/>
      <c r="F45" s="180" t="s">
        <v>314</v>
      </c>
      <c r="G45" s="183">
        <f>SUM(G38:G44)</f>
        <v>0.40500000000000008</v>
      </c>
      <c r="H45" s="137">
        <f>AP45/AQ45</f>
        <v>0.49981252343457067</v>
      </c>
      <c r="I45" s="183">
        <f>SUM(I38:I44)</f>
        <v>0.40500000000000003</v>
      </c>
      <c r="J45" s="178"/>
      <c r="K45" s="183">
        <f>SUM(K38:K44)</f>
        <v>0.40500000000000003</v>
      </c>
      <c r="L45" s="146">
        <f>SUM(L38:L44)</f>
        <v>0.40499999999999992</v>
      </c>
      <c r="N45" s="239"/>
      <c r="O45" s="218" t="s">
        <v>355</v>
      </c>
      <c r="P45" s="219"/>
      <c r="Q45" s="220">
        <f>SUM(Q38:Q44)</f>
        <v>0.35638641192350956</v>
      </c>
      <c r="R45" s="221">
        <f>SUM(R38:R44)</f>
        <v>0.37195679436695872</v>
      </c>
      <c r="AP45" s="180">
        <f>SUM(AP38:AP44)</f>
        <v>0.13496625000000001</v>
      </c>
      <c r="AQ45" s="137">
        <f>SUM(AQ38:AQ44)</f>
        <v>0.27003375000000002</v>
      </c>
      <c r="AR45" s="138"/>
      <c r="AV45" s="137"/>
      <c r="AW45" s="178">
        <f>(AX45/AY45)</f>
        <v>-2.9972465075544446E-2</v>
      </c>
      <c r="AX45" s="183">
        <f>SUM(AX38:AX44)</f>
        <v>-5.4072500000000162E-3</v>
      </c>
      <c r="AY45" s="173">
        <f>SUM(AY38:AY44)</f>
        <v>0.18040725000000002</v>
      </c>
      <c r="AZ45" s="138"/>
      <c r="BA45" s="137">
        <f>BB45/BC45</f>
        <v>0.57396578487404948</v>
      </c>
      <c r="BB45" s="137">
        <f>SUM(BB38:BB44)</f>
        <v>0.147688180459775</v>
      </c>
      <c r="BC45" s="137">
        <f>SUM(BC38:BC44)</f>
        <v>0.25731181954022497</v>
      </c>
      <c r="BD45" s="246"/>
      <c r="BF45" s="111"/>
      <c r="BG45" s="111"/>
      <c r="BH45" s="111"/>
      <c r="BI45" s="111"/>
      <c r="BJ45" s="111"/>
      <c r="BK45" s="111"/>
      <c r="BL45" s="111"/>
      <c r="BM45" s="111"/>
      <c r="BN45" s="111"/>
      <c r="BO45" s="111"/>
      <c r="BP45" s="111"/>
      <c r="BQ45" s="111"/>
      <c r="BR45" s="111"/>
      <c r="BS45" s="111"/>
      <c r="BT45" s="111"/>
      <c r="BU45" s="111"/>
      <c r="BV45" s="111"/>
      <c r="BW45" s="111"/>
      <c r="BX45" s="111"/>
      <c r="BY45" s="111"/>
      <c r="BZ45" s="111"/>
      <c r="CA45" s="111"/>
      <c r="CB45" s="111"/>
      <c r="CC45" s="111"/>
      <c r="CD45" s="111"/>
      <c r="CE45" s="111"/>
      <c r="CF45" s="111"/>
      <c r="CG45" s="111"/>
      <c r="CH45" s="111"/>
      <c r="CI45" s="111"/>
      <c r="CJ45" s="111"/>
      <c r="CK45" s="111"/>
      <c r="CL45" s="111"/>
      <c r="CM45" s="111"/>
      <c r="CN45" s="111"/>
      <c r="CO45" s="111"/>
      <c r="CP45" s="111"/>
      <c r="CQ45" s="111"/>
      <c r="CR45" s="111"/>
      <c r="CS45" s="111"/>
      <c r="CT45" s="111"/>
      <c r="CU45" s="111"/>
      <c r="CV45" s="111"/>
      <c r="EL45" s="111"/>
      <c r="EM45" s="111"/>
      <c r="EN45" s="111"/>
      <c r="EO45" s="111"/>
    </row>
    <row r="46" spans="1:145" s="2" customFormat="1" ht="15.75" x14ac:dyDescent="0.25">
      <c r="A46" s="13"/>
      <c r="B46" s="147"/>
      <c r="C46" s="206"/>
      <c r="D46" s="147"/>
      <c r="F46" s="147" t="s">
        <v>272</v>
      </c>
      <c r="G46" s="136">
        <v>2.6162999999999995E-2</v>
      </c>
      <c r="H46" s="209"/>
      <c r="I46" s="184">
        <f t="shared" ref="I46:I57" si="115">H46*AR46</f>
        <v>0</v>
      </c>
      <c r="J46" s="255">
        <v>2.6162999999999995E-2</v>
      </c>
      <c r="K46" s="184">
        <f>(J46/SUM(J$46:J$57)*28.5%)</f>
        <v>1.9697853471812202E-2</v>
      </c>
      <c r="L46" s="148">
        <f t="shared" ref="L46:L57" si="116">BA46*BD46</f>
        <v>0</v>
      </c>
      <c r="N46" s="147"/>
      <c r="O46" s="225"/>
      <c r="P46" s="225"/>
      <c r="Q46" s="226"/>
      <c r="R46" s="227"/>
      <c r="AP46" s="247">
        <f t="shared" ref="AP46:AP57" si="117">(IF(H46=0,G46,0))</f>
        <v>2.6162999999999995E-2</v>
      </c>
      <c r="AQ46" s="125">
        <f t="shared" ref="AQ46:AQ57" si="118">(IF(H46&gt;0,G46,0))</f>
        <v>0</v>
      </c>
      <c r="AR46" s="125">
        <f t="shared" ref="AR46:AR57" si="119">(G46*H$58)+G46</f>
        <v>4.8102592388306664E-2</v>
      </c>
      <c r="AV46" s="136">
        <f t="shared" ref="AV46:AV57" si="120">IF(ISNUMBER(J46),J46,G46)</f>
        <v>2.6162999999999995E-2</v>
      </c>
      <c r="AW46" s="168">
        <f t="shared" ref="AW46:AW57" si="121">IF(G46=AV46,0,1)</f>
        <v>0</v>
      </c>
      <c r="AX46" s="176">
        <f t="shared" ref="AX46:AX57" si="122">G46-AV46</f>
        <v>0</v>
      </c>
      <c r="AY46" s="125">
        <f t="shared" ref="AY46:AY57" si="123">(IF(AW46=0,AV46,0))</f>
        <v>2.6162999999999995E-2</v>
      </c>
      <c r="AZ46" s="125">
        <f t="shared" ref="AZ46:AZ57" si="124">(AV46*AW$58)+AV46</f>
        <v>1.5454545454545448E-2</v>
      </c>
      <c r="BA46" s="2">
        <f t="shared" ref="BA46:BA57" si="125">H46</f>
        <v>0</v>
      </c>
      <c r="BB46" s="125">
        <f t="shared" ref="BB46:BB57" si="126">(IF(BA46=0,K46,0))</f>
        <v>1.9697853471812202E-2</v>
      </c>
      <c r="BC46" s="125">
        <f t="shared" ref="BC46:BC57" si="127">(IF(BA46&gt;0,K46,0))</f>
        <v>0</v>
      </c>
      <c r="BD46" s="248">
        <f t="shared" ref="BD46:BD57" si="128">(K46*BA$58)+K46</f>
        <v>3.4466850330733989E-2</v>
      </c>
      <c r="BF46" s="115"/>
      <c r="BG46" s="115"/>
      <c r="BH46" s="115"/>
      <c r="BI46" s="115"/>
      <c r="BJ46" s="115"/>
      <c r="BK46" s="115"/>
      <c r="BL46" s="115"/>
      <c r="BM46" s="115"/>
      <c r="BN46" s="115"/>
      <c r="BO46" s="115"/>
      <c r="BP46" s="115"/>
      <c r="BQ46" s="115"/>
      <c r="BR46" s="115"/>
      <c r="BS46" s="115"/>
      <c r="BT46" s="115"/>
      <c r="BU46" s="115"/>
      <c r="BV46" s="115"/>
      <c r="BW46" s="115"/>
      <c r="BX46" s="115"/>
      <c r="BY46" s="115"/>
      <c r="BZ46" s="115"/>
      <c r="CA46" s="115"/>
      <c r="CB46" s="115"/>
      <c r="CC46" s="115"/>
      <c r="CD46" s="115"/>
      <c r="CE46" s="115"/>
      <c r="CF46" s="115"/>
      <c r="CG46" s="115"/>
      <c r="CH46" s="115"/>
      <c r="CI46" s="115"/>
      <c r="CJ46" s="115"/>
      <c r="CK46" s="115"/>
      <c r="CL46" s="115"/>
      <c r="CM46" s="115"/>
      <c r="CN46" s="115"/>
      <c r="CO46" s="115"/>
      <c r="CP46" s="115"/>
      <c r="CQ46" s="115"/>
      <c r="CR46" s="115"/>
      <c r="CS46" s="115"/>
      <c r="CT46" s="115"/>
      <c r="CU46" s="115"/>
      <c r="CV46" s="115"/>
      <c r="EL46" s="115"/>
      <c r="EM46" s="115"/>
      <c r="EN46" s="115"/>
      <c r="EO46" s="115"/>
    </row>
    <row r="47" spans="1:145" s="2" customFormat="1" ht="15.75" x14ac:dyDescent="0.25">
      <c r="A47" s="13"/>
      <c r="B47" s="147"/>
      <c r="C47" s="206"/>
      <c r="D47" s="147"/>
      <c r="F47" s="147" t="s">
        <v>273</v>
      </c>
      <c r="G47" s="136">
        <v>2.4709500000000002E-2</v>
      </c>
      <c r="H47" s="209"/>
      <c r="I47" s="184">
        <f t="shared" si="115"/>
        <v>0</v>
      </c>
      <c r="J47" s="255">
        <v>2.4709500000000002E-2</v>
      </c>
      <c r="K47" s="184">
        <f t="shared" ref="K47:K57" si="129">(J47/SUM(J$46:J$57)*28.5%)</f>
        <v>1.8603528278933752E-2</v>
      </c>
      <c r="L47" s="148">
        <f t="shared" si="116"/>
        <v>0</v>
      </c>
      <c r="N47" s="228"/>
      <c r="O47" s="225"/>
      <c r="P47" s="225"/>
      <c r="Q47" s="226"/>
      <c r="R47" s="227"/>
      <c r="AP47" s="247">
        <f t="shared" si="117"/>
        <v>2.4709500000000002E-2</v>
      </c>
      <c r="AQ47" s="125">
        <f t="shared" si="118"/>
        <v>0</v>
      </c>
      <c r="AR47" s="125">
        <f t="shared" si="119"/>
        <v>4.5430226144511865E-2</v>
      </c>
      <c r="AV47" s="136">
        <f t="shared" si="120"/>
        <v>2.4709500000000002E-2</v>
      </c>
      <c r="AW47" s="168">
        <f t="shared" si="121"/>
        <v>0</v>
      </c>
      <c r="AX47" s="176">
        <f t="shared" si="122"/>
        <v>0</v>
      </c>
      <c r="AY47" s="125">
        <f t="shared" si="123"/>
        <v>2.4709500000000002E-2</v>
      </c>
      <c r="AZ47" s="125">
        <f t="shared" si="124"/>
        <v>1.4595959595959595E-2</v>
      </c>
      <c r="BA47" s="2">
        <f t="shared" si="125"/>
        <v>0</v>
      </c>
      <c r="BB47" s="125">
        <f t="shared" si="126"/>
        <v>1.8603528278933752E-2</v>
      </c>
      <c r="BC47" s="125">
        <f t="shared" si="127"/>
        <v>0</v>
      </c>
      <c r="BD47" s="248">
        <f t="shared" si="128"/>
        <v>3.2552025312359886E-2</v>
      </c>
      <c r="BF47" s="115"/>
      <c r="BG47" s="115"/>
      <c r="BH47" s="115"/>
      <c r="BI47" s="115"/>
      <c r="BJ47" s="115"/>
      <c r="BK47" s="115"/>
      <c r="BL47" s="115"/>
      <c r="BM47" s="115"/>
      <c r="BN47" s="115"/>
      <c r="BO47" s="115"/>
      <c r="BP47" s="115"/>
      <c r="BQ47" s="115"/>
      <c r="BR47" s="115"/>
      <c r="BS47" s="115"/>
      <c r="BT47" s="115"/>
      <c r="BU47" s="115"/>
      <c r="BV47" s="115"/>
      <c r="BW47" s="115"/>
      <c r="BX47" s="115"/>
      <c r="BY47" s="115"/>
      <c r="BZ47" s="115"/>
      <c r="CA47" s="115"/>
      <c r="CB47" s="115"/>
      <c r="CC47" s="115"/>
      <c r="CD47" s="115"/>
      <c r="CE47" s="115"/>
      <c r="CF47" s="115"/>
      <c r="CG47" s="115"/>
      <c r="CH47" s="115"/>
      <c r="CI47" s="115"/>
      <c r="CJ47" s="115"/>
      <c r="CK47" s="115"/>
      <c r="CL47" s="115"/>
      <c r="CM47" s="115"/>
      <c r="CN47" s="115"/>
      <c r="CO47" s="115"/>
      <c r="CP47" s="115"/>
      <c r="CQ47" s="115"/>
      <c r="CR47" s="115"/>
      <c r="CS47" s="115"/>
      <c r="CT47" s="115"/>
      <c r="CU47" s="115"/>
      <c r="CV47" s="115"/>
      <c r="EL47" s="115"/>
      <c r="EM47" s="115"/>
      <c r="EN47" s="115"/>
      <c r="EO47" s="115"/>
    </row>
    <row r="48" spans="1:145" s="2" customFormat="1" ht="15.75" x14ac:dyDescent="0.25">
      <c r="A48" s="13"/>
      <c r="B48" s="147"/>
      <c r="C48" s="206"/>
      <c r="D48" s="147"/>
      <c r="F48" s="147" t="s">
        <v>274</v>
      </c>
      <c r="G48" s="136">
        <v>2.6162999999999995E-2</v>
      </c>
      <c r="H48" s="209"/>
      <c r="I48" s="184">
        <f t="shared" si="115"/>
        <v>0</v>
      </c>
      <c r="J48" s="255">
        <v>2.6162999999999995E-2</v>
      </c>
      <c r="K48" s="184">
        <f t="shared" si="129"/>
        <v>1.9697853471812202E-2</v>
      </c>
      <c r="L48" s="148">
        <f t="shared" si="116"/>
        <v>0</v>
      </c>
      <c r="N48" s="228"/>
      <c r="O48" s="225"/>
      <c r="P48" s="225"/>
      <c r="Q48" s="226"/>
      <c r="R48" s="227"/>
      <c r="AP48" s="247">
        <f t="shared" si="117"/>
        <v>2.6162999999999995E-2</v>
      </c>
      <c r="AQ48" s="125">
        <f t="shared" si="118"/>
        <v>0</v>
      </c>
      <c r="AR48" s="125">
        <f t="shared" si="119"/>
        <v>4.8102592388306664E-2</v>
      </c>
      <c r="AV48" s="136">
        <f t="shared" si="120"/>
        <v>2.6162999999999995E-2</v>
      </c>
      <c r="AW48" s="168">
        <f t="shared" si="121"/>
        <v>0</v>
      </c>
      <c r="AX48" s="176">
        <f t="shared" si="122"/>
        <v>0</v>
      </c>
      <c r="AY48" s="125">
        <f t="shared" si="123"/>
        <v>2.6162999999999995E-2</v>
      </c>
      <c r="AZ48" s="125">
        <f t="shared" si="124"/>
        <v>1.5454545454545448E-2</v>
      </c>
      <c r="BA48" s="2">
        <f t="shared" si="125"/>
        <v>0</v>
      </c>
      <c r="BB48" s="125">
        <f t="shared" si="126"/>
        <v>1.9697853471812202E-2</v>
      </c>
      <c r="BC48" s="125">
        <f t="shared" si="127"/>
        <v>0</v>
      </c>
      <c r="BD48" s="248">
        <f t="shared" si="128"/>
        <v>3.4466850330733989E-2</v>
      </c>
      <c r="BF48" s="115"/>
      <c r="BG48" s="115"/>
      <c r="BH48" s="115"/>
      <c r="BI48" s="115"/>
      <c r="BJ48" s="115"/>
      <c r="BK48" s="115"/>
      <c r="BL48" s="115"/>
      <c r="BM48" s="115"/>
      <c r="BN48" s="115"/>
      <c r="BO48" s="115"/>
      <c r="BP48" s="115"/>
      <c r="BQ48" s="115"/>
      <c r="BR48" s="115"/>
      <c r="BS48" s="115"/>
      <c r="BT48" s="115"/>
      <c r="BU48" s="115"/>
      <c r="BV48" s="115"/>
      <c r="BW48" s="115"/>
      <c r="BX48" s="115"/>
      <c r="BY48" s="115"/>
      <c r="BZ48" s="115"/>
      <c r="CA48" s="115"/>
      <c r="CB48" s="115"/>
      <c r="CC48" s="115"/>
      <c r="CD48" s="115"/>
      <c r="CE48" s="115"/>
      <c r="CF48" s="115"/>
      <c r="CG48" s="115"/>
      <c r="CH48" s="115"/>
      <c r="CI48" s="115"/>
      <c r="CJ48" s="115"/>
      <c r="CK48" s="115"/>
      <c r="CL48" s="115"/>
      <c r="CM48" s="115"/>
      <c r="CN48" s="115"/>
      <c r="CO48" s="115"/>
      <c r="CP48" s="115"/>
      <c r="CQ48" s="115"/>
      <c r="CR48" s="115"/>
      <c r="CS48" s="115"/>
      <c r="CT48" s="115"/>
      <c r="CU48" s="115"/>
      <c r="CV48" s="115"/>
      <c r="EL48" s="115"/>
      <c r="EM48" s="115"/>
      <c r="EN48" s="115"/>
      <c r="EO48" s="115"/>
    </row>
    <row r="49" spans="1:145" s="2" customFormat="1" ht="15.75" x14ac:dyDescent="0.25">
      <c r="A49" s="13"/>
      <c r="B49" s="147" t="s">
        <v>252</v>
      </c>
      <c r="C49" s="205">
        <f>AZ32</f>
        <v>6380</v>
      </c>
      <c r="D49" s="147" t="s">
        <v>359</v>
      </c>
      <c r="F49" s="147" t="s">
        <v>275</v>
      </c>
      <c r="G49" s="136">
        <v>2.4709500000000002E-2</v>
      </c>
      <c r="H49" s="209">
        <v>1</v>
      </c>
      <c r="I49" s="184">
        <f t="shared" si="115"/>
        <v>4.5430226144511865E-2</v>
      </c>
      <c r="J49" s="255">
        <v>2.4709500000000002E-2</v>
      </c>
      <c r="K49" s="184">
        <f t="shared" si="129"/>
        <v>1.8603528278933752E-2</v>
      </c>
      <c r="L49" s="148">
        <f t="shared" si="116"/>
        <v>3.2552025312359886E-2</v>
      </c>
      <c r="N49" s="229">
        <f>VLOOKUP(C$6,References!$A$116:$AS$124,24,FALSE)</f>
        <v>71861.432035699661</v>
      </c>
      <c r="O49" s="230">
        <f>(N49-C49)/N49</f>
        <v>0.91121802308600652</v>
      </c>
      <c r="P49" s="230">
        <f t="shared" ref="P49:P50" si="130">IF(O49&gt;1,1,IF(O49&lt;0,0,O49))</f>
        <v>0.91121802308600652</v>
      </c>
      <c r="Q49" s="226">
        <f>P49*I49</f>
        <v>4.1396840855752307E-2</v>
      </c>
      <c r="R49" s="227">
        <f>P49*L49</f>
        <v>2.9661992152574219E-2</v>
      </c>
      <c r="AP49" s="247">
        <f t="shared" si="117"/>
        <v>0</v>
      </c>
      <c r="AQ49" s="125">
        <f t="shared" si="118"/>
        <v>2.4709500000000002E-2</v>
      </c>
      <c r="AR49" s="125">
        <f t="shared" si="119"/>
        <v>4.5430226144511865E-2</v>
      </c>
      <c r="AV49" s="136">
        <f t="shared" si="120"/>
        <v>2.4709500000000002E-2</v>
      </c>
      <c r="AW49" s="168">
        <f t="shared" si="121"/>
        <v>0</v>
      </c>
      <c r="AX49" s="176">
        <f t="shared" si="122"/>
        <v>0</v>
      </c>
      <c r="AY49" s="125">
        <f t="shared" si="123"/>
        <v>2.4709500000000002E-2</v>
      </c>
      <c r="AZ49" s="125">
        <f t="shared" si="124"/>
        <v>1.4595959595959595E-2</v>
      </c>
      <c r="BA49" s="2">
        <f t="shared" si="125"/>
        <v>1</v>
      </c>
      <c r="BB49" s="125">
        <f t="shared" si="126"/>
        <v>0</v>
      </c>
      <c r="BC49" s="125">
        <f t="shared" si="127"/>
        <v>1.8603528278933752E-2</v>
      </c>
      <c r="BD49" s="248">
        <f t="shared" si="128"/>
        <v>3.2552025312359886E-2</v>
      </c>
      <c r="BF49" s="115"/>
      <c r="BG49" s="115"/>
      <c r="BH49" s="115"/>
      <c r="BI49" s="115"/>
      <c r="BJ49" s="115"/>
      <c r="BK49" s="115"/>
      <c r="BL49" s="115"/>
      <c r="BM49" s="115"/>
      <c r="BN49" s="115"/>
      <c r="BO49" s="115"/>
      <c r="BP49" s="115"/>
      <c r="BQ49" s="115"/>
      <c r="BR49" s="115"/>
      <c r="BS49" s="115"/>
      <c r="BT49" s="115"/>
      <c r="BU49" s="115"/>
      <c r="BV49" s="115"/>
      <c r="BW49" s="115"/>
      <c r="BX49" s="115"/>
      <c r="BY49" s="115"/>
      <c r="BZ49" s="115"/>
      <c r="CA49" s="115"/>
      <c r="CB49" s="115"/>
      <c r="CC49" s="115"/>
      <c r="CD49" s="115"/>
      <c r="CE49" s="115"/>
      <c r="CF49" s="115"/>
      <c r="CG49" s="115"/>
      <c r="CH49" s="115"/>
      <c r="CI49" s="115"/>
      <c r="CJ49" s="115"/>
      <c r="CK49" s="115"/>
      <c r="CL49" s="115"/>
      <c r="CM49" s="115"/>
      <c r="CN49" s="115"/>
      <c r="CO49" s="115"/>
      <c r="CP49" s="115"/>
      <c r="CQ49" s="115"/>
      <c r="CR49" s="115"/>
      <c r="CS49" s="115"/>
      <c r="CT49" s="115"/>
      <c r="CU49" s="115"/>
      <c r="CV49" s="115"/>
      <c r="EL49" s="115"/>
      <c r="EM49" s="115"/>
      <c r="EN49" s="115"/>
      <c r="EO49" s="115"/>
    </row>
    <row r="50" spans="1:145" s="2" customFormat="1" ht="15.75" x14ac:dyDescent="0.25">
      <c r="A50" s="13"/>
      <c r="B50" s="147" t="s">
        <v>276</v>
      </c>
      <c r="C50" s="204">
        <f>1-(AZ32/AY32)</f>
        <v>0.83338991460580258</v>
      </c>
      <c r="D50" s="147" t="s">
        <v>360</v>
      </c>
      <c r="F50" s="147" t="s">
        <v>276</v>
      </c>
      <c r="G50" s="136">
        <v>2.3255999999999999E-2</v>
      </c>
      <c r="H50" s="209">
        <v>1</v>
      </c>
      <c r="I50" s="184">
        <f t="shared" si="115"/>
        <v>4.2757859900717038E-2</v>
      </c>
      <c r="J50" s="255">
        <v>2.3255999999999999E-2</v>
      </c>
      <c r="K50" s="184">
        <f t="shared" si="129"/>
        <v>1.7509203086055292E-2</v>
      </c>
      <c r="L50" s="148">
        <f t="shared" si="116"/>
        <v>3.063720029398577E-2</v>
      </c>
      <c r="N50" s="228">
        <v>1</v>
      </c>
      <c r="O50" s="230">
        <f>C50/N50</f>
        <v>0.83338991460580258</v>
      </c>
      <c r="P50" s="230">
        <f t="shared" si="130"/>
        <v>0.83338991460580258</v>
      </c>
      <c r="Q50" s="226">
        <f>P50*I50</f>
        <v>3.5633969211385445E-2</v>
      </c>
      <c r="R50" s="227">
        <f>P50*L50</f>
        <v>2.5532733736765671E-2</v>
      </c>
      <c r="AP50" s="247">
        <f t="shared" si="117"/>
        <v>0</v>
      </c>
      <c r="AQ50" s="125">
        <f t="shared" si="118"/>
        <v>2.3255999999999999E-2</v>
      </c>
      <c r="AR50" s="125">
        <f t="shared" si="119"/>
        <v>4.2757859900717038E-2</v>
      </c>
      <c r="AV50" s="136">
        <f t="shared" si="120"/>
        <v>2.3255999999999999E-2</v>
      </c>
      <c r="AW50" s="168">
        <f t="shared" si="121"/>
        <v>0</v>
      </c>
      <c r="AX50" s="176">
        <f t="shared" si="122"/>
        <v>0</v>
      </c>
      <c r="AY50" s="125">
        <f t="shared" si="123"/>
        <v>2.3255999999999999E-2</v>
      </c>
      <c r="AZ50" s="125">
        <f t="shared" si="124"/>
        <v>1.3737373737373734E-2</v>
      </c>
      <c r="BA50" s="2">
        <f t="shared" si="125"/>
        <v>1</v>
      </c>
      <c r="BB50" s="125">
        <f t="shared" si="126"/>
        <v>0</v>
      </c>
      <c r="BC50" s="125">
        <f t="shared" si="127"/>
        <v>1.7509203086055292E-2</v>
      </c>
      <c r="BD50" s="248">
        <f t="shared" si="128"/>
        <v>3.063720029398577E-2</v>
      </c>
      <c r="BF50" s="115"/>
      <c r="BG50" s="115"/>
      <c r="BH50" s="115"/>
      <c r="BI50" s="115"/>
      <c r="BJ50" s="115"/>
      <c r="BK50" s="115"/>
      <c r="BL50" s="115"/>
      <c r="BM50" s="115"/>
      <c r="BN50" s="115"/>
      <c r="BO50" s="115"/>
      <c r="BP50" s="115"/>
      <c r="BQ50" s="115"/>
      <c r="BR50" s="115"/>
      <c r="BS50" s="115"/>
      <c r="BT50" s="115"/>
      <c r="BU50" s="115"/>
      <c r="BV50" s="115"/>
      <c r="BW50" s="115"/>
      <c r="BX50" s="115"/>
      <c r="BY50" s="115"/>
      <c r="BZ50" s="115"/>
      <c r="CA50" s="115"/>
      <c r="CB50" s="115"/>
      <c r="CC50" s="115"/>
      <c r="CD50" s="115"/>
      <c r="CE50" s="115"/>
      <c r="CF50" s="115"/>
      <c r="CG50" s="115"/>
      <c r="CH50" s="115"/>
      <c r="CI50" s="115"/>
      <c r="CJ50" s="115"/>
      <c r="CK50" s="115"/>
      <c r="CL50" s="115"/>
      <c r="CM50" s="115"/>
      <c r="CN50" s="115"/>
      <c r="CO50" s="115"/>
      <c r="CP50" s="115"/>
      <c r="CQ50" s="115"/>
      <c r="CR50" s="115"/>
      <c r="CS50" s="115"/>
      <c r="CT50" s="115"/>
      <c r="CU50" s="115"/>
      <c r="CV50" s="115"/>
      <c r="EL50" s="115"/>
      <c r="EM50" s="115"/>
      <c r="EN50" s="115"/>
      <c r="EO50" s="115"/>
    </row>
    <row r="51" spans="1:145" s="2" customFormat="1" ht="15.75" x14ac:dyDescent="0.25">
      <c r="A51" s="13"/>
      <c r="B51" s="147"/>
      <c r="C51" s="206"/>
      <c r="D51" s="147"/>
      <c r="F51" s="147" t="s">
        <v>258</v>
      </c>
      <c r="G51" s="136">
        <v>2.0348999999999999E-2</v>
      </c>
      <c r="H51" s="209"/>
      <c r="I51" s="184">
        <f t="shared" si="115"/>
        <v>0</v>
      </c>
      <c r="J51" s="255">
        <v>2.0348999999999999E-2</v>
      </c>
      <c r="K51" s="184">
        <f t="shared" si="129"/>
        <v>1.5320552700298381E-2</v>
      </c>
      <c r="L51" s="148">
        <f t="shared" si="116"/>
        <v>0</v>
      </c>
      <c r="N51" s="228"/>
      <c r="O51" s="225"/>
      <c r="P51" s="225"/>
      <c r="Q51" s="226"/>
      <c r="R51" s="227"/>
      <c r="AP51" s="247">
        <f t="shared" si="117"/>
        <v>2.0348999999999999E-2</v>
      </c>
      <c r="AQ51" s="125">
        <f t="shared" si="118"/>
        <v>0</v>
      </c>
      <c r="AR51" s="125">
        <f t="shared" si="119"/>
        <v>3.7413127413127412E-2</v>
      </c>
      <c r="AV51" s="136">
        <f t="shared" si="120"/>
        <v>2.0348999999999999E-2</v>
      </c>
      <c r="AW51" s="168">
        <f t="shared" si="121"/>
        <v>0</v>
      </c>
      <c r="AX51" s="176">
        <f t="shared" si="122"/>
        <v>0</v>
      </c>
      <c r="AY51" s="125">
        <f t="shared" si="123"/>
        <v>2.0348999999999999E-2</v>
      </c>
      <c r="AZ51" s="125">
        <f t="shared" si="124"/>
        <v>1.2020202020202018E-2</v>
      </c>
      <c r="BA51" s="2">
        <f t="shared" si="125"/>
        <v>0</v>
      </c>
      <c r="BB51" s="125">
        <f t="shared" si="126"/>
        <v>1.5320552700298381E-2</v>
      </c>
      <c r="BC51" s="125">
        <f t="shared" si="127"/>
        <v>0</v>
      </c>
      <c r="BD51" s="248">
        <f t="shared" si="128"/>
        <v>2.680755025723755E-2</v>
      </c>
      <c r="BF51" s="115"/>
      <c r="BG51" s="115"/>
      <c r="BH51" s="115"/>
      <c r="BI51" s="115"/>
      <c r="BJ51" s="115"/>
      <c r="BK51" s="115"/>
      <c r="BL51" s="115"/>
      <c r="BM51" s="115"/>
      <c r="BN51" s="115"/>
      <c r="BO51" s="115"/>
      <c r="BP51" s="115"/>
      <c r="BQ51" s="115"/>
      <c r="BR51" s="115"/>
      <c r="BS51" s="115"/>
      <c r="BT51" s="115"/>
      <c r="BU51" s="115"/>
      <c r="BV51" s="115"/>
      <c r="BW51" s="115"/>
      <c r="BX51" s="115"/>
      <c r="BY51" s="115"/>
      <c r="BZ51" s="115"/>
      <c r="CA51" s="115"/>
      <c r="CB51" s="115"/>
      <c r="CC51" s="115"/>
      <c r="CD51" s="115"/>
      <c r="CE51" s="115"/>
      <c r="CF51" s="115"/>
      <c r="CG51" s="115"/>
      <c r="CH51" s="115"/>
      <c r="CI51" s="115"/>
      <c r="CJ51" s="115"/>
      <c r="CK51" s="115"/>
      <c r="CL51" s="115"/>
      <c r="CM51" s="115"/>
      <c r="CN51" s="115"/>
      <c r="CO51" s="115"/>
      <c r="CP51" s="115"/>
      <c r="CQ51" s="115"/>
      <c r="CR51" s="115"/>
      <c r="CS51" s="115"/>
      <c r="CT51" s="115"/>
      <c r="CU51" s="115"/>
      <c r="CV51" s="115"/>
      <c r="EL51" s="115"/>
      <c r="EM51" s="115"/>
      <c r="EN51" s="115"/>
      <c r="EO51" s="115"/>
    </row>
    <row r="52" spans="1:145" s="2" customFormat="1" ht="30" x14ac:dyDescent="0.25">
      <c r="A52" s="13"/>
      <c r="B52" s="147" t="s">
        <v>337</v>
      </c>
      <c r="C52" s="204">
        <f>(CJ32+CK32+CL32)/3</f>
        <v>1.3530595378376435</v>
      </c>
      <c r="D52" s="147" t="s">
        <v>362</v>
      </c>
      <c r="F52" s="147" t="s">
        <v>277</v>
      </c>
      <c r="G52" s="136">
        <v>2.68755E-2</v>
      </c>
      <c r="H52" s="209">
        <v>1</v>
      </c>
      <c r="I52" s="184">
        <f t="shared" si="115"/>
        <v>4.9412575841147263E-2</v>
      </c>
      <c r="J52" s="255">
        <v>2.68755E-2</v>
      </c>
      <c r="K52" s="184">
        <f t="shared" si="129"/>
        <v>2.0234287389889881E-2</v>
      </c>
      <c r="L52" s="148">
        <f t="shared" si="116"/>
        <v>3.5405490045623267E-2</v>
      </c>
      <c r="N52" s="228">
        <v>1</v>
      </c>
      <c r="O52" s="230">
        <f>C52/N52</f>
        <v>1.3530595378376435</v>
      </c>
      <c r="P52" s="230">
        <f t="shared" ref="P52:P55" si="131">IF(O52&gt;1,1,IF(O52&lt;0,0,O52))</f>
        <v>1</v>
      </c>
      <c r="Q52" s="226">
        <f>P52*I52</f>
        <v>4.9412575841147263E-2</v>
      </c>
      <c r="R52" s="227">
        <f>P52*L52</f>
        <v>3.5405490045623267E-2</v>
      </c>
      <c r="AP52" s="247">
        <f t="shared" si="117"/>
        <v>0</v>
      </c>
      <c r="AQ52" s="125">
        <f t="shared" si="118"/>
        <v>2.68755E-2</v>
      </c>
      <c r="AR52" s="125">
        <f t="shared" si="119"/>
        <v>4.9412575841147263E-2</v>
      </c>
      <c r="AV52" s="136">
        <f t="shared" si="120"/>
        <v>2.68755E-2</v>
      </c>
      <c r="AW52" s="168">
        <f t="shared" si="121"/>
        <v>0</v>
      </c>
      <c r="AX52" s="176">
        <f t="shared" si="122"/>
        <v>0</v>
      </c>
      <c r="AY52" s="125">
        <f t="shared" si="123"/>
        <v>2.68755E-2</v>
      </c>
      <c r="AZ52" s="125">
        <f t="shared" si="124"/>
        <v>1.5875420875420872E-2</v>
      </c>
      <c r="BA52" s="2">
        <f t="shared" si="125"/>
        <v>1</v>
      </c>
      <c r="BB52" s="125">
        <f t="shared" si="126"/>
        <v>0</v>
      </c>
      <c r="BC52" s="125">
        <f t="shared" si="127"/>
        <v>2.0234287389889881E-2</v>
      </c>
      <c r="BD52" s="248">
        <f t="shared" si="128"/>
        <v>3.5405490045623267E-2</v>
      </c>
      <c r="BF52" s="115"/>
      <c r="BG52" s="115"/>
      <c r="BH52" s="115"/>
      <c r="BI52" s="115"/>
      <c r="BJ52" s="115"/>
      <c r="BK52" s="115"/>
      <c r="BL52" s="115"/>
      <c r="BM52" s="115"/>
      <c r="BN52" s="115"/>
      <c r="BO52" s="115"/>
      <c r="BP52" s="115"/>
      <c r="BQ52" s="115"/>
      <c r="BR52" s="115"/>
      <c r="BS52" s="115"/>
      <c r="BT52" s="115"/>
      <c r="BU52" s="115"/>
      <c r="BV52" s="115"/>
      <c r="BW52" s="115"/>
      <c r="BX52" s="115"/>
      <c r="BY52" s="115"/>
      <c r="BZ52" s="115"/>
      <c r="CA52" s="115"/>
      <c r="CB52" s="115"/>
      <c r="CC52" s="115"/>
      <c r="CD52" s="115"/>
      <c r="CE52" s="115"/>
      <c r="CF52" s="115"/>
      <c r="CG52" s="115"/>
      <c r="CH52" s="115"/>
      <c r="CI52" s="115"/>
      <c r="CJ52" s="115"/>
      <c r="CK52" s="115"/>
      <c r="CL52" s="115"/>
      <c r="CM52" s="115"/>
      <c r="CN52" s="115"/>
      <c r="CO52" s="115"/>
      <c r="CP52" s="115"/>
      <c r="CQ52" s="115"/>
      <c r="CR52" s="115"/>
      <c r="CS52" s="115"/>
      <c r="CT52" s="115"/>
      <c r="CU52" s="115"/>
      <c r="CV52" s="115"/>
      <c r="EL52" s="115"/>
      <c r="EM52" s="115"/>
      <c r="EN52" s="115"/>
      <c r="EO52" s="115"/>
    </row>
    <row r="53" spans="1:145" s="2" customFormat="1" ht="30" x14ac:dyDescent="0.25">
      <c r="A53" s="13"/>
      <c r="B53" s="147" t="s">
        <v>244</v>
      </c>
      <c r="C53" s="204">
        <f>CS32</f>
        <v>1</v>
      </c>
      <c r="D53" s="147" t="s">
        <v>362</v>
      </c>
      <c r="F53" s="147" t="s">
        <v>278</v>
      </c>
      <c r="G53" s="136">
        <v>3.8674499999999994E-2</v>
      </c>
      <c r="H53" s="209">
        <v>1</v>
      </c>
      <c r="I53" s="184">
        <f t="shared" si="115"/>
        <v>7.1105901820187528E-2</v>
      </c>
      <c r="J53" s="255">
        <v>0.1</v>
      </c>
      <c r="K53" s="184">
        <f t="shared" si="129"/>
        <v>7.5288970958270099E-2</v>
      </c>
      <c r="L53" s="148">
        <f t="shared" si="116"/>
        <v>0.13173890735287999</v>
      </c>
      <c r="N53" s="228">
        <v>1</v>
      </c>
      <c r="O53" s="230">
        <f>C53/N53</f>
        <v>1</v>
      </c>
      <c r="P53" s="230">
        <f t="shared" si="131"/>
        <v>1</v>
      </c>
      <c r="Q53" s="226">
        <f>P53*I53</f>
        <v>7.1105901820187528E-2</v>
      </c>
      <c r="R53" s="227">
        <f>P53*L53</f>
        <v>0.13173890735287999</v>
      </c>
      <c r="AP53" s="247">
        <f t="shared" si="117"/>
        <v>0</v>
      </c>
      <c r="AQ53" s="125">
        <f t="shared" si="118"/>
        <v>3.8674499999999994E-2</v>
      </c>
      <c r="AR53" s="125">
        <f t="shared" si="119"/>
        <v>7.1105901820187528E-2</v>
      </c>
      <c r="AV53" s="136">
        <f t="shared" si="120"/>
        <v>0.1</v>
      </c>
      <c r="AW53" s="168">
        <f t="shared" si="121"/>
        <v>1</v>
      </c>
      <c r="AX53" s="176">
        <f t="shared" si="122"/>
        <v>-6.1325500000000012E-2</v>
      </c>
      <c r="AY53" s="125">
        <f t="shared" si="123"/>
        <v>0</v>
      </c>
      <c r="AZ53" s="125">
        <f t="shared" si="124"/>
        <v>5.907023450883099E-2</v>
      </c>
      <c r="BA53" s="2">
        <f t="shared" si="125"/>
        <v>1</v>
      </c>
      <c r="BB53" s="125">
        <f t="shared" si="126"/>
        <v>0</v>
      </c>
      <c r="BC53" s="125">
        <f t="shared" si="127"/>
        <v>7.5288970958270099E-2</v>
      </c>
      <c r="BD53" s="248">
        <f t="shared" si="128"/>
        <v>0.13173890735287999</v>
      </c>
      <c r="BF53" s="115"/>
      <c r="BG53" s="115"/>
      <c r="BH53" s="115"/>
      <c r="BI53" s="115"/>
      <c r="BJ53" s="115"/>
      <c r="BK53" s="115"/>
      <c r="BL53" s="115"/>
      <c r="BM53" s="115"/>
      <c r="BN53" s="115"/>
      <c r="BO53" s="115"/>
      <c r="BP53" s="115"/>
      <c r="BQ53" s="115"/>
      <c r="BR53" s="115"/>
      <c r="BS53" s="115"/>
      <c r="BT53" s="115"/>
      <c r="BU53" s="115"/>
      <c r="BV53" s="115"/>
      <c r="BW53" s="115"/>
      <c r="BX53" s="115"/>
      <c r="BY53" s="115"/>
      <c r="BZ53" s="115"/>
      <c r="CA53" s="115"/>
      <c r="CB53" s="115"/>
      <c r="CC53" s="115"/>
      <c r="CD53" s="115"/>
      <c r="CE53" s="115"/>
      <c r="CF53" s="115"/>
      <c r="CG53" s="115"/>
      <c r="CH53" s="115"/>
      <c r="CI53" s="115"/>
      <c r="CJ53" s="115"/>
      <c r="CK53" s="115"/>
      <c r="CL53" s="115"/>
      <c r="CM53" s="115"/>
      <c r="CN53" s="115"/>
      <c r="CO53" s="115"/>
      <c r="CP53" s="115"/>
      <c r="CQ53" s="115"/>
      <c r="CR53" s="115"/>
      <c r="CS53" s="115"/>
      <c r="CT53" s="115"/>
      <c r="CU53" s="115"/>
      <c r="CV53" s="115"/>
      <c r="EL53" s="115"/>
      <c r="EM53" s="115"/>
      <c r="EN53" s="115"/>
      <c r="EO53" s="115"/>
    </row>
    <row r="54" spans="1:145" s="2" customFormat="1" ht="15.75" x14ac:dyDescent="0.25">
      <c r="A54" s="13"/>
      <c r="B54" s="147" t="s">
        <v>256</v>
      </c>
      <c r="C54" s="204">
        <f>BP32</f>
        <v>1.2519909782508434</v>
      </c>
      <c r="D54" s="147" t="s">
        <v>361</v>
      </c>
      <c r="F54" s="147" t="s">
        <v>279</v>
      </c>
      <c r="G54" s="136">
        <v>2.223E-2</v>
      </c>
      <c r="H54" s="209">
        <v>1</v>
      </c>
      <c r="I54" s="184">
        <f t="shared" si="115"/>
        <v>4.0871483728626583E-2</v>
      </c>
      <c r="J54" s="255">
        <v>2.223E-2</v>
      </c>
      <c r="K54" s="184">
        <f t="shared" si="129"/>
        <v>1.6736738244023441E-2</v>
      </c>
      <c r="L54" s="148">
        <f t="shared" si="116"/>
        <v>2.9285559104545222E-2</v>
      </c>
      <c r="N54" s="228">
        <v>1</v>
      </c>
      <c r="O54" s="230">
        <f>C54/N54</f>
        <v>1.2519909782508434</v>
      </c>
      <c r="P54" s="230">
        <f t="shared" si="131"/>
        <v>1</v>
      </c>
      <c r="Q54" s="226">
        <f>P54*I54</f>
        <v>4.0871483728626583E-2</v>
      </c>
      <c r="R54" s="227">
        <f>P54*L54</f>
        <v>2.9285559104545222E-2</v>
      </c>
      <c r="AP54" s="247">
        <f t="shared" si="117"/>
        <v>0</v>
      </c>
      <c r="AQ54" s="125">
        <f t="shared" si="118"/>
        <v>2.223E-2</v>
      </c>
      <c r="AR54" s="125">
        <f t="shared" si="119"/>
        <v>4.0871483728626583E-2</v>
      </c>
      <c r="AV54" s="136">
        <f t="shared" si="120"/>
        <v>2.223E-2</v>
      </c>
      <c r="AW54" s="168">
        <f t="shared" si="121"/>
        <v>0</v>
      </c>
      <c r="AX54" s="176">
        <f t="shared" si="122"/>
        <v>0</v>
      </c>
      <c r="AY54" s="125">
        <f t="shared" si="123"/>
        <v>2.223E-2</v>
      </c>
      <c r="AZ54" s="125">
        <f t="shared" si="124"/>
        <v>1.3131313131313129E-2</v>
      </c>
      <c r="BA54" s="2">
        <f t="shared" si="125"/>
        <v>1</v>
      </c>
      <c r="BB54" s="125">
        <f t="shared" si="126"/>
        <v>0</v>
      </c>
      <c r="BC54" s="125">
        <f t="shared" si="127"/>
        <v>1.6736738244023441E-2</v>
      </c>
      <c r="BD54" s="248">
        <f t="shared" si="128"/>
        <v>2.9285559104545222E-2</v>
      </c>
      <c r="BF54" s="115"/>
      <c r="BG54" s="115"/>
      <c r="BH54" s="115"/>
      <c r="BI54" s="115"/>
      <c r="BJ54" s="115"/>
      <c r="BK54" s="115"/>
      <c r="BL54" s="115"/>
      <c r="BM54" s="115"/>
      <c r="BN54" s="115"/>
      <c r="BO54" s="115"/>
      <c r="BP54" s="115"/>
      <c r="BQ54" s="115"/>
      <c r="BR54" s="115"/>
      <c r="BS54" s="115"/>
      <c r="BT54" s="115"/>
      <c r="BU54" s="115"/>
      <c r="BV54" s="115"/>
      <c r="BW54" s="115"/>
      <c r="BX54" s="115"/>
      <c r="BY54" s="115"/>
      <c r="BZ54" s="115"/>
      <c r="CA54" s="115"/>
      <c r="CB54" s="115"/>
      <c r="CC54" s="115"/>
      <c r="CD54" s="115"/>
      <c r="CE54" s="115"/>
      <c r="CF54" s="115"/>
      <c r="CG54" s="115"/>
      <c r="CH54" s="115"/>
      <c r="CI54" s="115"/>
      <c r="CJ54" s="115"/>
      <c r="CK54" s="115"/>
      <c r="CL54" s="115"/>
      <c r="CM54" s="115"/>
      <c r="CN54" s="115"/>
      <c r="CO54" s="115"/>
      <c r="CP54" s="115"/>
      <c r="CQ54" s="115"/>
      <c r="CR54" s="115"/>
      <c r="CS54" s="115"/>
      <c r="CT54" s="115"/>
      <c r="CU54" s="115"/>
      <c r="CV54" s="115"/>
      <c r="EL54" s="115"/>
      <c r="EM54" s="115"/>
      <c r="EN54" s="115"/>
      <c r="EO54" s="115"/>
    </row>
    <row r="55" spans="1:145" s="2" customFormat="1" ht="15.75" x14ac:dyDescent="0.25">
      <c r="A55" s="13"/>
      <c r="B55" s="147" t="s">
        <v>357</v>
      </c>
      <c r="C55" s="204">
        <f>BK32</f>
        <v>0.32904186143681613</v>
      </c>
      <c r="D55" s="147" t="s">
        <v>360</v>
      </c>
      <c r="F55" s="147" t="s">
        <v>268</v>
      </c>
      <c r="G55" s="136">
        <v>1.9266000000000002E-2</v>
      </c>
      <c r="H55" s="209">
        <v>1</v>
      </c>
      <c r="I55" s="184">
        <f t="shared" si="115"/>
        <v>3.5421952564809706E-2</v>
      </c>
      <c r="J55" s="255">
        <v>1.9266000000000002E-2</v>
      </c>
      <c r="K55" s="184">
        <f t="shared" si="129"/>
        <v>1.4505173144820317E-2</v>
      </c>
      <c r="L55" s="148">
        <f t="shared" si="116"/>
        <v>2.538081789060586E-2</v>
      </c>
      <c r="N55" s="228">
        <f>VLOOKUP(C$6,References!$A$116:$AS$124,28,FALSE)</f>
        <v>0.94200930602418032</v>
      </c>
      <c r="O55" s="230">
        <f>C55/N55</f>
        <v>0.3492978883887693</v>
      </c>
      <c r="P55" s="230">
        <f t="shared" si="131"/>
        <v>0.3492978883887693</v>
      </c>
      <c r="Q55" s="226">
        <f>P55*I55</f>
        <v>1.2372813233495181E-2</v>
      </c>
      <c r="R55" s="227">
        <f>P55*L55</f>
        <v>8.8654660947685253E-3</v>
      </c>
      <c r="AP55" s="247">
        <f t="shared" si="117"/>
        <v>0</v>
      </c>
      <c r="AQ55" s="125">
        <f t="shared" si="118"/>
        <v>1.9266000000000002E-2</v>
      </c>
      <c r="AR55" s="125">
        <f t="shared" si="119"/>
        <v>3.5421952564809706E-2</v>
      </c>
      <c r="AV55" s="136">
        <f t="shared" si="120"/>
        <v>1.9266000000000002E-2</v>
      </c>
      <c r="AW55" s="168">
        <f t="shared" si="121"/>
        <v>0</v>
      </c>
      <c r="AX55" s="176">
        <f t="shared" si="122"/>
        <v>0</v>
      </c>
      <c r="AY55" s="125">
        <f t="shared" si="123"/>
        <v>1.9266000000000002E-2</v>
      </c>
      <c r="AZ55" s="125">
        <f t="shared" si="124"/>
        <v>1.138047138047138E-2</v>
      </c>
      <c r="BA55" s="2">
        <f t="shared" si="125"/>
        <v>1</v>
      </c>
      <c r="BB55" s="125">
        <f t="shared" si="126"/>
        <v>0</v>
      </c>
      <c r="BC55" s="125">
        <f t="shared" si="127"/>
        <v>1.4505173144820317E-2</v>
      </c>
      <c r="BD55" s="248">
        <f t="shared" si="128"/>
        <v>2.538081789060586E-2</v>
      </c>
      <c r="BF55" s="115"/>
      <c r="BG55" s="115"/>
      <c r="BH55" s="115"/>
      <c r="BI55" s="115"/>
      <c r="BJ55" s="115"/>
      <c r="BK55" s="115"/>
      <c r="BL55" s="115"/>
      <c r="BM55" s="115"/>
      <c r="BN55" s="115"/>
      <c r="BO55" s="115"/>
      <c r="BP55" s="115"/>
      <c r="BQ55" s="115"/>
      <c r="BR55" s="115"/>
      <c r="BS55" s="115"/>
      <c r="BT55" s="115"/>
      <c r="BU55" s="115"/>
      <c r="BV55" s="115"/>
      <c r="BW55" s="115"/>
      <c r="BX55" s="115"/>
      <c r="BY55" s="115"/>
      <c r="BZ55" s="115"/>
      <c r="CA55" s="115"/>
      <c r="CB55" s="115"/>
      <c r="CC55" s="115"/>
      <c r="CD55" s="115"/>
      <c r="CE55" s="115"/>
      <c r="CF55" s="115"/>
      <c r="CG55" s="115"/>
      <c r="CH55" s="115"/>
      <c r="CI55" s="115"/>
      <c r="CJ55" s="115"/>
      <c r="CK55" s="115"/>
      <c r="CL55" s="115"/>
      <c r="CM55" s="115"/>
      <c r="CN55" s="115"/>
      <c r="CO55" s="115"/>
      <c r="CP55" s="115"/>
      <c r="CQ55" s="115"/>
      <c r="CR55" s="115"/>
      <c r="CS55" s="115"/>
      <c r="CT55" s="115"/>
      <c r="CU55" s="115"/>
      <c r="CV55" s="115"/>
      <c r="EL55" s="115"/>
      <c r="EM55" s="115"/>
      <c r="EN55" s="115"/>
      <c r="EO55" s="115"/>
    </row>
    <row r="56" spans="1:145" s="2" customFormat="1" ht="15.75" x14ac:dyDescent="0.25">
      <c r="A56" s="13"/>
      <c r="B56" s="257" t="s">
        <v>418</v>
      </c>
      <c r="C56" s="206"/>
      <c r="D56" s="147"/>
      <c r="F56" s="147" t="s">
        <v>280</v>
      </c>
      <c r="G56" s="136">
        <v>1.482E-2</v>
      </c>
      <c r="H56" s="209"/>
      <c r="I56" s="184">
        <f t="shared" si="115"/>
        <v>0</v>
      </c>
      <c r="J56" s="255">
        <v>1.482E-2</v>
      </c>
      <c r="K56" s="184">
        <f t="shared" si="129"/>
        <v>1.1157825496015628E-2</v>
      </c>
      <c r="L56" s="148">
        <f t="shared" si="116"/>
        <v>0</v>
      </c>
      <c r="N56" s="228"/>
      <c r="O56" s="225"/>
      <c r="P56" s="225"/>
      <c r="Q56" s="225"/>
      <c r="R56" s="227"/>
      <c r="AP56" s="247">
        <f t="shared" si="117"/>
        <v>1.482E-2</v>
      </c>
      <c r="AQ56" s="125">
        <f t="shared" si="118"/>
        <v>0</v>
      </c>
      <c r="AR56" s="125">
        <f t="shared" si="119"/>
        <v>2.7247655819084386E-2</v>
      </c>
      <c r="AV56" s="136">
        <f t="shared" si="120"/>
        <v>1.482E-2</v>
      </c>
      <c r="AW56" s="168">
        <f t="shared" si="121"/>
        <v>0</v>
      </c>
      <c r="AX56" s="176">
        <f t="shared" si="122"/>
        <v>0</v>
      </c>
      <c r="AY56" s="125">
        <f t="shared" si="123"/>
        <v>1.482E-2</v>
      </c>
      <c r="AZ56" s="125">
        <f t="shared" si="124"/>
        <v>8.7542087542087522E-3</v>
      </c>
      <c r="BA56" s="2">
        <f t="shared" si="125"/>
        <v>0</v>
      </c>
      <c r="BB56" s="125">
        <f t="shared" si="126"/>
        <v>1.1157825496015628E-2</v>
      </c>
      <c r="BC56" s="125">
        <f t="shared" si="127"/>
        <v>0</v>
      </c>
      <c r="BD56" s="248">
        <f t="shared" si="128"/>
        <v>1.9523706069696813E-2</v>
      </c>
      <c r="BF56" s="115"/>
      <c r="BG56" s="115"/>
      <c r="BH56" s="115"/>
      <c r="BI56" s="115"/>
      <c r="BJ56" s="115"/>
      <c r="BK56" s="115"/>
      <c r="BL56" s="115"/>
      <c r="BM56" s="115"/>
      <c r="BN56" s="115"/>
      <c r="BO56" s="115"/>
      <c r="BP56" s="115"/>
      <c r="BQ56" s="115"/>
      <c r="BR56" s="115"/>
      <c r="BS56" s="115"/>
      <c r="BT56" s="115"/>
      <c r="BU56" s="115"/>
      <c r="BV56" s="115"/>
      <c r="BW56" s="115"/>
      <c r="BX56" s="115"/>
      <c r="BY56" s="115"/>
      <c r="BZ56" s="115"/>
      <c r="CA56" s="115"/>
      <c r="CB56" s="115"/>
      <c r="CC56" s="115"/>
      <c r="CD56" s="115"/>
      <c r="CE56" s="115"/>
      <c r="CF56" s="115"/>
      <c r="CG56" s="115"/>
      <c r="CH56" s="115"/>
      <c r="CI56" s="115"/>
      <c r="CJ56" s="115"/>
      <c r="CK56" s="115"/>
      <c r="CL56" s="115"/>
      <c r="CM56" s="115"/>
      <c r="CN56" s="115"/>
      <c r="CO56" s="115"/>
      <c r="CP56" s="115"/>
      <c r="CQ56" s="115"/>
      <c r="CR56" s="115"/>
      <c r="CS56" s="115"/>
      <c r="CT56" s="115"/>
      <c r="CU56" s="115"/>
      <c r="CV56" s="115"/>
      <c r="EL56" s="115"/>
      <c r="EM56" s="115"/>
      <c r="EN56" s="115"/>
      <c r="EO56" s="115"/>
    </row>
    <row r="57" spans="1:145" s="2" customFormat="1" ht="15.75" x14ac:dyDescent="0.25">
      <c r="A57" s="13"/>
      <c r="B57" s="147"/>
      <c r="C57" s="206"/>
      <c r="D57" s="147"/>
      <c r="F57" s="147" t="s">
        <v>281</v>
      </c>
      <c r="G57" s="136">
        <v>1.7783999999999998E-2</v>
      </c>
      <c r="H57" s="209"/>
      <c r="I57" s="184">
        <f t="shared" si="115"/>
        <v>0</v>
      </c>
      <c r="J57" s="255">
        <v>0.05</v>
      </c>
      <c r="K57" s="184">
        <f t="shared" si="129"/>
        <v>3.7644485479135049E-2</v>
      </c>
      <c r="L57" s="148">
        <f t="shared" si="116"/>
        <v>0</v>
      </c>
      <c r="N57" s="228"/>
      <c r="O57" s="225"/>
      <c r="P57" s="225"/>
      <c r="Q57" s="225"/>
      <c r="R57" s="227"/>
      <c r="AP57" s="247">
        <f t="shared" si="117"/>
        <v>1.7783999999999998E-2</v>
      </c>
      <c r="AQ57" s="125">
        <f t="shared" si="118"/>
        <v>0</v>
      </c>
      <c r="AR57" s="125">
        <f t="shared" si="119"/>
        <v>3.2697186982901263E-2</v>
      </c>
      <c r="AV57" s="136">
        <f t="shared" si="120"/>
        <v>0.05</v>
      </c>
      <c r="AW57" s="168">
        <f t="shared" si="121"/>
        <v>1</v>
      </c>
      <c r="AX57" s="176">
        <f t="shared" si="122"/>
        <v>-3.2216000000000009E-2</v>
      </c>
      <c r="AY57" s="125">
        <f t="shared" si="123"/>
        <v>0</v>
      </c>
      <c r="AZ57" s="125">
        <f t="shared" si="124"/>
        <v>2.9535117254415495E-2</v>
      </c>
      <c r="BA57" s="2">
        <f t="shared" si="125"/>
        <v>0</v>
      </c>
      <c r="BB57" s="125">
        <f t="shared" si="126"/>
        <v>3.7644485479135049E-2</v>
      </c>
      <c r="BC57" s="125">
        <f t="shared" si="127"/>
        <v>0</v>
      </c>
      <c r="BD57" s="248">
        <f t="shared" si="128"/>
        <v>6.5869453676439996E-2</v>
      </c>
      <c r="BF57" s="115"/>
      <c r="BG57" s="115"/>
      <c r="BH57" s="115"/>
      <c r="BI57" s="115"/>
      <c r="BJ57" s="115"/>
      <c r="BK57" s="115"/>
      <c r="BL57" s="115"/>
      <c r="BM57" s="115"/>
      <c r="BN57" s="115"/>
      <c r="BO57" s="115"/>
      <c r="BP57" s="115"/>
      <c r="BQ57" s="115"/>
      <c r="BR57" s="115"/>
      <c r="BS57" s="115"/>
      <c r="BT57" s="115"/>
      <c r="BU57" s="115"/>
      <c r="BV57" s="115"/>
      <c r="BW57" s="115"/>
      <c r="BX57" s="115"/>
      <c r="BY57" s="115"/>
      <c r="BZ57" s="115"/>
      <c r="CA57" s="115"/>
      <c r="CB57" s="115"/>
      <c r="CC57" s="115"/>
      <c r="CD57" s="115"/>
      <c r="CE57" s="115"/>
      <c r="CF57" s="115"/>
      <c r="CG57" s="115"/>
      <c r="CH57" s="115"/>
      <c r="CI57" s="115"/>
      <c r="CJ57" s="115"/>
      <c r="CK57" s="115"/>
      <c r="CL57" s="115"/>
      <c r="CM57" s="115"/>
      <c r="CN57" s="115"/>
      <c r="CO57" s="115"/>
      <c r="CP57" s="115"/>
      <c r="CQ57" s="115"/>
      <c r="CR57" s="115"/>
      <c r="CS57" s="115"/>
      <c r="CT57" s="115"/>
      <c r="CU57" s="115"/>
      <c r="CV57" s="115"/>
      <c r="EL57" s="115"/>
      <c r="EM57" s="115"/>
      <c r="EN57" s="115"/>
      <c r="EO57" s="115"/>
    </row>
    <row r="58" spans="1:145" s="121" customFormat="1" ht="15.75" x14ac:dyDescent="0.25">
      <c r="A58" s="124"/>
      <c r="B58" s="181"/>
      <c r="C58" s="206"/>
      <c r="D58" s="181"/>
      <c r="F58" s="181" t="s">
        <v>314</v>
      </c>
      <c r="G58" s="134"/>
      <c r="H58" s="134">
        <f>AP58/AQ58</f>
        <v>0.8385732671446956</v>
      </c>
      <c r="I58" s="185">
        <f>SUM(I46:I57)</f>
        <v>0.28499999999999998</v>
      </c>
      <c r="J58" s="256"/>
      <c r="K58" s="185">
        <f>SUM(K46:K57)</f>
        <v>0.28499999999999998</v>
      </c>
      <c r="L58" s="149">
        <f>SUM(L46:L57)</f>
        <v>0.28500000000000003</v>
      </c>
      <c r="N58" s="239"/>
      <c r="O58" s="218" t="s">
        <v>354</v>
      </c>
      <c r="P58" s="219"/>
      <c r="Q58" s="220">
        <f>SUM(Q46:Q57)</f>
        <v>0.25079358469059432</v>
      </c>
      <c r="R58" s="221">
        <f>SUM(R46:R57)</f>
        <v>0.2604901484871569</v>
      </c>
      <c r="AP58" s="181">
        <f>SUM(AP46:AP57)</f>
        <v>0.12998849999999998</v>
      </c>
      <c r="AQ58" s="134">
        <f>SUM(AQ46:AQ57)</f>
        <v>0.1550115</v>
      </c>
      <c r="AR58" s="135"/>
      <c r="AV58" s="134"/>
      <c r="AW58" s="174">
        <f>(AX58/AY58)</f>
        <v>-0.40929765491169012</v>
      </c>
      <c r="AX58" s="177">
        <f>SUM(AX46:AX57)</f>
        <v>-9.3541500000000027E-2</v>
      </c>
      <c r="AY58" s="174">
        <f>SUM(AY46:AY57)</f>
        <v>0.22854150000000001</v>
      </c>
      <c r="AZ58" s="135"/>
      <c r="BA58" s="134">
        <f>BB58/BC58</f>
        <v>0.74977696834106045</v>
      </c>
      <c r="BB58" s="134">
        <f>SUM(BB46:BB57)</f>
        <v>0.12212209889800721</v>
      </c>
      <c r="BC58" s="134">
        <f>SUM(BC46:BC57)</f>
        <v>0.16287790110199277</v>
      </c>
      <c r="BD58" s="249"/>
      <c r="BF58" s="111"/>
      <c r="BG58" s="111"/>
      <c r="BH58" s="111"/>
      <c r="BI58" s="111"/>
      <c r="BJ58" s="111"/>
      <c r="BK58" s="111"/>
      <c r="BL58" s="111"/>
      <c r="BM58" s="111"/>
      <c r="BN58" s="111"/>
      <c r="BO58" s="111"/>
      <c r="BP58" s="111"/>
      <c r="BQ58" s="111"/>
      <c r="BR58" s="111"/>
      <c r="BS58" s="111"/>
      <c r="BT58" s="111"/>
      <c r="BU58" s="111"/>
      <c r="BV58" s="111"/>
      <c r="BW58" s="111"/>
      <c r="BX58" s="111"/>
      <c r="BY58" s="111"/>
      <c r="BZ58" s="111"/>
      <c r="CA58" s="111"/>
      <c r="CB58" s="111"/>
      <c r="CC58" s="111"/>
      <c r="CD58" s="111"/>
      <c r="CE58" s="111"/>
      <c r="CF58" s="111"/>
      <c r="CG58" s="111"/>
      <c r="CH58" s="111"/>
      <c r="CI58" s="111"/>
      <c r="CJ58" s="111"/>
      <c r="CK58" s="111"/>
      <c r="CL58" s="111"/>
      <c r="CM58" s="111"/>
      <c r="CN58" s="111"/>
      <c r="CO58" s="111"/>
      <c r="CP58" s="111"/>
      <c r="CQ58" s="111"/>
      <c r="CR58" s="111"/>
      <c r="CS58" s="111"/>
      <c r="CT58" s="111"/>
      <c r="CU58" s="111"/>
      <c r="CV58" s="111"/>
      <c r="EL58" s="111"/>
      <c r="EM58" s="111"/>
      <c r="EN58" s="111"/>
      <c r="EO58" s="111"/>
    </row>
    <row r="59" spans="1:145" s="2" customFormat="1" ht="15.75" x14ac:dyDescent="0.25">
      <c r="A59" s="13"/>
      <c r="B59" s="150"/>
      <c r="C59" s="206"/>
      <c r="D59" s="150"/>
      <c r="F59" s="150" t="s">
        <v>282</v>
      </c>
      <c r="G59" s="130">
        <v>1.7657600000000002E-2</v>
      </c>
      <c r="H59" s="210"/>
      <c r="I59" s="186">
        <f t="shared" ref="I59:I70" si="132">H59*AR59</f>
        <v>0</v>
      </c>
      <c r="J59" s="255">
        <v>1.7657600000000002E-2</v>
      </c>
      <c r="K59" s="186">
        <f>(J59/SUM(J$59:J$70))*31%</f>
        <v>1.5989418780729472E-2</v>
      </c>
      <c r="L59" s="151">
        <f t="shared" ref="L59:L70" si="133">BA59*BD59</f>
        <v>0</v>
      </c>
      <c r="N59" s="235"/>
      <c r="O59" s="179"/>
      <c r="P59" s="179"/>
      <c r="Q59" s="179"/>
      <c r="R59" s="236"/>
      <c r="AP59" s="250">
        <f t="shared" ref="AP59:AP70" si="134">(IF(H59=0,G59,0))</f>
        <v>1.7657600000000002E-2</v>
      </c>
      <c r="AQ59" s="126">
        <f t="shared" ref="AQ59:AQ70" si="135">(IF(H59&gt;0,G59,0))</f>
        <v>0</v>
      </c>
      <c r="AR59" s="126">
        <f t="shared" ref="AR59:AR70" si="136">(G59*H$71)+G59</f>
        <v>6.4942716857610466E-2</v>
      </c>
      <c r="AV59" s="130">
        <f t="shared" ref="AV59:AV70" si="137">IF(ISNUMBER(J59),J59,G59)</f>
        <v>1.7657600000000002E-2</v>
      </c>
      <c r="AW59" s="169">
        <f t="shared" ref="AW59:AW70" si="138">IF(G59=AV59,0,1)</f>
        <v>0</v>
      </c>
      <c r="AX59" s="2">
        <f t="shared" ref="AX59:AX70" si="139">G59-AV59</f>
        <v>0</v>
      </c>
      <c r="AY59" s="126">
        <f t="shared" ref="AY59:AY70" si="140">(IF(AW59=0,AV59,0))</f>
        <v>1.7657600000000002E-2</v>
      </c>
      <c r="AZ59" s="126">
        <f t="shared" ref="AZ59:AZ70" si="141">(AV59*AW$71)+AV59</f>
        <v>1.5704105870376656E-2</v>
      </c>
      <c r="BA59" s="2">
        <f t="shared" ref="BA59:BA70" si="142">H59</f>
        <v>0</v>
      </c>
      <c r="BB59" s="126">
        <f t="shared" ref="BB59:BB70" si="143">(IF(BA59=0,K59,0))</f>
        <v>1.5989418780729472E-2</v>
      </c>
      <c r="BC59" s="126">
        <f t="shared" ref="BC59:BC70" si="144">(IF(BA59&gt;0,K59,0))</f>
        <v>0</v>
      </c>
      <c r="BD59" s="251">
        <f t="shared" ref="BD59:BD70" si="145">(K59*BA$71)+K59</f>
        <v>4.6933576610104534E-2</v>
      </c>
      <c r="BF59" s="115"/>
      <c r="BG59" s="115"/>
      <c r="BH59" s="115"/>
      <c r="BI59" s="115"/>
      <c r="BJ59" s="115"/>
      <c r="BK59" s="115"/>
      <c r="BL59" s="115"/>
      <c r="BM59" s="115"/>
      <c r="BN59" s="115"/>
      <c r="BO59" s="115"/>
      <c r="BP59" s="115"/>
      <c r="BQ59" s="115"/>
      <c r="BR59" s="115"/>
      <c r="BS59" s="115"/>
      <c r="BT59" s="115"/>
      <c r="BU59" s="115"/>
      <c r="BV59" s="115"/>
      <c r="BW59" s="115"/>
      <c r="BX59" s="115"/>
      <c r="BY59" s="115"/>
      <c r="BZ59" s="115"/>
      <c r="CA59" s="115"/>
      <c r="CB59" s="115"/>
      <c r="CC59" s="115"/>
      <c r="CD59" s="115"/>
      <c r="CE59" s="115"/>
      <c r="CF59" s="115"/>
      <c r="CG59" s="115"/>
      <c r="CH59" s="115"/>
      <c r="CI59" s="115"/>
      <c r="CJ59" s="115"/>
      <c r="CK59" s="115"/>
      <c r="CL59" s="115"/>
      <c r="CM59" s="115"/>
      <c r="CN59" s="115"/>
      <c r="CO59" s="115"/>
      <c r="CP59" s="115"/>
      <c r="CQ59" s="115"/>
      <c r="CR59" s="115"/>
      <c r="CS59" s="115"/>
      <c r="CT59" s="115"/>
      <c r="CU59" s="115"/>
      <c r="CV59" s="115"/>
      <c r="EL59" s="115"/>
      <c r="EM59" s="115"/>
      <c r="EN59" s="115"/>
      <c r="EO59" s="115"/>
    </row>
    <row r="60" spans="1:145" s="2" customFormat="1" ht="15.75" x14ac:dyDescent="0.25">
      <c r="A60" s="13"/>
      <c r="B60" s="150" t="s">
        <v>337</v>
      </c>
      <c r="C60" s="204">
        <f>(CJ32+CK32+CL32)/3</f>
        <v>1.3530595378376435</v>
      </c>
      <c r="D60" s="150" t="s">
        <v>362</v>
      </c>
      <c r="F60" s="150" t="s">
        <v>283</v>
      </c>
      <c r="G60" s="130">
        <v>2.3313550000000002E-2</v>
      </c>
      <c r="H60" s="210">
        <v>1</v>
      </c>
      <c r="I60" s="187">
        <f t="shared" si="132"/>
        <v>8.574468085106382E-2</v>
      </c>
      <c r="J60" s="255">
        <v>2.3313550000000002E-2</v>
      </c>
      <c r="K60" s="186">
        <f t="shared" ref="K60:K70" si="146">(J60/SUM(J$59:J$70))*31%</f>
        <v>2.1111029483931881E-2</v>
      </c>
      <c r="L60" s="152">
        <f t="shared" si="133"/>
        <v>6.1966987868028636E-2</v>
      </c>
      <c r="N60" s="235">
        <v>1</v>
      </c>
      <c r="O60" s="237">
        <f>C60/N60</f>
        <v>1.3530595378376435</v>
      </c>
      <c r="P60" s="237">
        <f t="shared" ref="P60:P61" si="147">IF(O60&gt;1,1,IF(O60&lt;0,0,O60))</f>
        <v>1</v>
      </c>
      <c r="Q60" s="200">
        <f>((I60+I61+I62+I63)/2)*P60</f>
        <v>0.15499999999999997</v>
      </c>
      <c r="R60" s="236">
        <f>((L60+L61+L62+L63)/2)*P60</f>
        <v>0.155</v>
      </c>
      <c r="AP60" s="250">
        <f t="shared" si="134"/>
        <v>0</v>
      </c>
      <c r="AQ60" s="126">
        <f t="shared" si="135"/>
        <v>2.3313550000000002E-2</v>
      </c>
      <c r="AR60" s="126">
        <f t="shared" si="136"/>
        <v>8.574468085106382E-2</v>
      </c>
      <c r="AV60" s="130">
        <f t="shared" si="137"/>
        <v>2.3313550000000002E-2</v>
      </c>
      <c r="AW60" s="169">
        <f t="shared" si="138"/>
        <v>0</v>
      </c>
      <c r="AX60" s="2">
        <f t="shared" si="139"/>
        <v>0</v>
      </c>
      <c r="AY60" s="126">
        <f t="shared" si="140"/>
        <v>2.3313550000000002E-2</v>
      </c>
      <c r="AZ60" s="126">
        <f t="shared" si="141"/>
        <v>2.0734327281981678E-2</v>
      </c>
      <c r="BA60" s="2">
        <f t="shared" si="142"/>
        <v>1</v>
      </c>
      <c r="BB60" s="126">
        <f t="shared" si="143"/>
        <v>0</v>
      </c>
      <c r="BC60" s="126">
        <f t="shared" si="144"/>
        <v>2.1111029483931881E-2</v>
      </c>
      <c r="BD60" s="251">
        <f t="shared" si="145"/>
        <v>6.1966987868028636E-2</v>
      </c>
      <c r="BF60" s="115"/>
      <c r="BG60" s="115"/>
      <c r="BH60" s="115"/>
      <c r="BI60" s="115"/>
      <c r="BJ60" s="115"/>
      <c r="BK60" s="115"/>
      <c r="BL60" s="115"/>
      <c r="BM60" s="115"/>
      <c r="BN60" s="115"/>
      <c r="BO60" s="115"/>
      <c r="BP60" s="115"/>
      <c r="BQ60" s="115"/>
      <c r="BR60" s="115"/>
      <c r="BS60" s="115"/>
      <c r="BT60" s="115"/>
      <c r="BU60" s="115"/>
      <c r="BV60" s="115"/>
      <c r="BW60" s="115"/>
      <c r="BX60" s="115"/>
      <c r="BY60" s="115"/>
      <c r="BZ60" s="115"/>
      <c r="CA60" s="115"/>
      <c r="CB60" s="115"/>
      <c r="CC60" s="115"/>
      <c r="CD60" s="115"/>
      <c r="CE60" s="115"/>
      <c r="CF60" s="115"/>
      <c r="CG60" s="115"/>
      <c r="CH60" s="115"/>
      <c r="CI60" s="115"/>
      <c r="CJ60" s="115"/>
      <c r="CK60" s="115"/>
      <c r="CL60" s="115"/>
      <c r="CM60" s="115"/>
      <c r="CN60" s="115"/>
      <c r="CO60" s="115"/>
      <c r="CP60" s="115"/>
      <c r="CQ60" s="115"/>
      <c r="CR60" s="115"/>
      <c r="CS60" s="115"/>
      <c r="CT60" s="115"/>
      <c r="CU60" s="115"/>
      <c r="CV60" s="115"/>
      <c r="EL60" s="115"/>
      <c r="EM60" s="115"/>
      <c r="EN60" s="115"/>
      <c r="EO60" s="115"/>
    </row>
    <row r="61" spans="1:145" s="2" customFormat="1" ht="15.75" x14ac:dyDescent="0.25">
      <c r="A61" s="13"/>
      <c r="B61" s="150" t="s">
        <v>244</v>
      </c>
      <c r="C61" s="204">
        <f>CS32</f>
        <v>1</v>
      </c>
      <c r="D61" s="150" t="s">
        <v>362</v>
      </c>
      <c r="F61" s="150" t="s">
        <v>284</v>
      </c>
      <c r="G61" s="130">
        <v>2.8003850000000004E-2</v>
      </c>
      <c r="H61" s="210">
        <v>1</v>
      </c>
      <c r="I61" s="187">
        <f t="shared" si="132"/>
        <v>0.10299509001636661</v>
      </c>
      <c r="J61" s="255">
        <v>2.8003850000000004E-2</v>
      </c>
      <c r="K61" s="186">
        <f t="shared" si="146"/>
        <v>2.5358218847563146E-2</v>
      </c>
      <c r="L61" s="152">
        <f t="shared" si="133"/>
        <v>7.443371915508766E-2</v>
      </c>
      <c r="N61" s="235">
        <v>1</v>
      </c>
      <c r="O61" s="237">
        <f>C61/N61</f>
        <v>1</v>
      </c>
      <c r="P61" s="237">
        <f t="shared" si="147"/>
        <v>1</v>
      </c>
      <c r="Q61" s="200">
        <f>((I60+I61+I62+I63)/2)*P61</f>
        <v>0.15499999999999997</v>
      </c>
      <c r="R61" s="236">
        <f>((L60+L61+L62+L63)/2)*P61</f>
        <v>0.155</v>
      </c>
      <c r="AP61" s="250">
        <f t="shared" si="134"/>
        <v>0</v>
      </c>
      <c r="AQ61" s="126">
        <f t="shared" si="135"/>
        <v>2.8003850000000004E-2</v>
      </c>
      <c r="AR61" s="126">
        <f t="shared" si="136"/>
        <v>0.10299509001636661</v>
      </c>
      <c r="AV61" s="130">
        <f t="shared" si="137"/>
        <v>2.8003850000000004E-2</v>
      </c>
      <c r="AW61" s="169">
        <f t="shared" si="138"/>
        <v>0</v>
      </c>
      <c r="AX61" s="2">
        <f t="shared" si="139"/>
        <v>0</v>
      </c>
      <c r="AY61" s="126">
        <f t="shared" si="140"/>
        <v>2.8003850000000004E-2</v>
      </c>
      <c r="AZ61" s="126">
        <f t="shared" si="141"/>
        <v>2.490573040380048E-2</v>
      </c>
      <c r="BA61" s="2">
        <f t="shared" si="142"/>
        <v>1</v>
      </c>
      <c r="BB61" s="126">
        <f t="shared" si="143"/>
        <v>0</v>
      </c>
      <c r="BC61" s="126">
        <f t="shared" si="144"/>
        <v>2.5358218847563146E-2</v>
      </c>
      <c r="BD61" s="251">
        <f t="shared" si="145"/>
        <v>7.443371915508766E-2</v>
      </c>
      <c r="BF61" s="115"/>
      <c r="BG61" s="115"/>
      <c r="BH61" s="115"/>
      <c r="BI61" s="115"/>
      <c r="BJ61" s="115"/>
      <c r="BK61" s="115"/>
      <c r="BL61" s="115"/>
      <c r="BM61" s="115"/>
      <c r="BN61" s="115"/>
      <c r="BO61" s="115"/>
      <c r="BP61" s="115"/>
      <c r="BQ61" s="115"/>
      <c r="BR61" s="115"/>
      <c r="BS61" s="115"/>
      <c r="BT61" s="115"/>
      <c r="BU61" s="115"/>
      <c r="BV61" s="115"/>
      <c r="BW61" s="115"/>
      <c r="BX61" s="115"/>
      <c r="BY61" s="115"/>
      <c r="BZ61" s="115"/>
      <c r="CA61" s="115"/>
      <c r="CB61" s="115"/>
      <c r="CC61" s="115"/>
      <c r="CD61" s="115"/>
      <c r="CE61" s="115"/>
      <c r="CF61" s="115"/>
      <c r="CG61" s="115"/>
      <c r="CH61" s="115"/>
      <c r="CI61" s="115"/>
      <c r="CJ61" s="115"/>
      <c r="CK61" s="115"/>
      <c r="CL61" s="115"/>
      <c r="CM61" s="115"/>
      <c r="CN61" s="115"/>
      <c r="CO61" s="115"/>
      <c r="CP61" s="115"/>
      <c r="CQ61" s="115"/>
      <c r="CR61" s="115"/>
      <c r="CS61" s="115"/>
      <c r="CT61" s="115"/>
      <c r="CU61" s="115"/>
      <c r="CV61" s="115"/>
      <c r="EL61" s="115"/>
      <c r="EM61" s="115"/>
      <c r="EN61" s="115"/>
      <c r="EO61" s="115"/>
    </row>
    <row r="62" spans="1:145" s="2" customFormat="1" ht="15.75" x14ac:dyDescent="0.25">
      <c r="A62" s="13"/>
      <c r="B62" s="150"/>
      <c r="C62" s="206"/>
      <c r="D62" s="150"/>
      <c r="F62" s="150" t="s">
        <v>285</v>
      </c>
      <c r="G62" s="130">
        <v>1.7657600000000002E-2</v>
      </c>
      <c r="H62" s="210">
        <v>1</v>
      </c>
      <c r="I62" s="187">
        <f t="shared" si="132"/>
        <v>6.4942716857610466E-2</v>
      </c>
      <c r="J62" s="255">
        <v>0.05</v>
      </c>
      <c r="K62" s="186">
        <f t="shared" si="146"/>
        <v>4.5276308163990205E-2</v>
      </c>
      <c r="L62" s="152">
        <f t="shared" si="133"/>
        <v>0.13289908201030867</v>
      </c>
      <c r="N62" s="235"/>
      <c r="O62" s="179"/>
      <c r="P62" s="179"/>
      <c r="Q62" s="179"/>
      <c r="R62" s="236"/>
      <c r="AP62" s="250">
        <f t="shared" si="134"/>
        <v>0</v>
      </c>
      <c r="AQ62" s="126">
        <f t="shared" si="135"/>
        <v>1.7657600000000002E-2</v>
      </c>
      <c r="AR62" s="126">
        <f t="shared" si="136"/>
        <v>6.4942716857610466E-2</v>
      </c>
      <c r="AV62" s="130">
        <f t="shared" si="137"/>
        <v>0.05</v>
      </c>
      <c r="AW62" s="169">
        <f t="shared" si="138"/>
        <v>1</v>
      </c>
      <c r="AX62" s="2">
        <f t="shared" si="139"/>
        <v>-3.23424E-2</v>
      </c>
      <c r="AY62" s="126">
        <f t="shared" si="140"/>
        <v>0</v>
      </c>
      <c r="AZ62" s="126">
        <f t="shared" si="141"/>
        <v>4.4468404172641397E-2</v>
      </c>
      <c r="BA62" s="2">
        <f t="shared" si="142"/>
        <v>1</v>
      </c>
      <c r="BB62" s="126">
        <f t="shared" si="143"/>
        <v>0</v>
      </c>
      <c r="BC62" s="126">
        <f t="shared" si="144"/>
        <v>4.5276308163990205E-2</v>
      </c>
      <c r="BD62" s="251">
        <f t="shared" si="145"/>
        <v>0.13289908201030867</v>
      </c>
      <c r="BF62" s="115"/>
      <c r="BG62" s="115"/>
      <c r="BH62" s="115"/>
      <c r="BI62" s="115"/>
      <c r="BJ62" s="115"/>
      <c r="BK62" s="115"/>
      <c r="BL62" s="115"/>
      <c r="BM62" s="115"/>
      <c r="BN62" s="115"/>
      <c r="BO62" s="115"/>
      <c r="BP62" s="115"/>
      <c r="BQ62" s="115"/>
      <c r="BR62" s="115"/>
      <c r="BS62" s="115"/>
      <c r="BT62" s="115"/>
      <c r="BU62" s="115"/>
      <c r="BV62" s="115"/>
      <c r="BW62" s="115"/>
      <c r="BX62" s="115"/>
      <c r="BY62" s="115"/>
      <c r="BZ62" s="115"/>
      <c r="CA62" s="115"/>
      <c r="CB62" s="115"/>
      <c r="CC62" s="115"/>
      <c r="CD62" s="115"/>
      <c r="CE62" s="115"/>
      <c r="CF62" s="115"/>
      <c r="CG62" s="115"/>
      <c r="CH62" s="115"/>
      <c r="CI62" s="115"/>
      <c r="CJ62" s="115"/>
      <c r="CK62" s="115"/>
      <c r="CL62" s="115"/>
      <c r="CM62" s="115"/>
      <c r="CN62" s="115"/>
      <c r="CO62" s="115"/>
      <c r="CP62" s="115"/>
      <c r="CQ62" s="115"/>
      <c r="CR62" s="115"/>
      <c r="CS62" s="115"/>
      <c r="CT62" s="115"/>
      <c r="CU62" s="115"/>
      <c r="CV62" s="115"/>
      <c r="EL62" s="115"/>
      <c r="EM62" s="115"/>
      <c r="EN62" s="115"/>
      <c r="EO62" s="115"/>
    </row>
    <row r="63" spans="1:145" s="2" customFormat="1" ht="15.75" x14ac:dyDescent="0.25">
      <c r="A63" s="13"/>
      <c r="B63" s="150"/>
      <c r="C63" s="206"/>
      <c r="D63" s="150"/>
      <c r="F63" s="150" t="s">
        <v>286</v>
      </c>
      <c r="G63" s="130">
        <v>1.531245E-2</v>
      </c>
      <c r="H63" s="210">
        <v>1</v>
      </c>
      <c r="I63" s="187">
        <f t="shared" si="132"/>
        <v>5.6317512274959076E-2</v>
      </c>
      <c r="J63" s="255">
        <v>1.531245E-2</v>
      </c>
      <c r="K63" s="186">
        <f t="shared" si="146"/>
        <v>1.3865824098913836E-2</v>
      </c>
      <c r="L63" s="152">
        <f t="shared" si="133"/>
        <v>4.0700210966575015E-2</v>
      </c>
      <c r="N63" s="235"/>
      <c r="O63" s="179"/>
      <c r="P63" s="179"/>
      <c r="Q63" s="179"/>
      <c r="R63" s="236"/>
      <c r="AP63" s="250">
        <f t="shared" si="134"/>
        <v>0</v>
      </c>
      <c r="AQ63" s="126">
        <f t="shared" si="135"/>
        <v>1.531245E-2</v>
      </c>
      <c r="AR63" s="126">
        <f t="shared" si="136"/>
        <v>5.6317512274959076E-2</v>
      </c>
      <c r="AV63" s="130">
        <f t="shared" si="137"/>
        <v>1.531245E-2</v>
      </c>
      <c r="AW63" s="169">
        <f t="shared" si="138"/>
        <v>0</v>
      </c>
      <c r="AX63" s="2">
        <f t="shared" si="139"/>
        <v>0</v>
      </c>
      <c r="AY63" s="126">
        <f t="shared" si="140"/>
        <v>1.531245E-2</v>
      </c>
      <c r="AZ63" s="126">
        <f t="shared" si="141"/>
        <v>1.3618404309467255E-2</v>
      </c>
      <c r="BA63" s="2">
        <f t="shared" si="142"/>
        <v>1</v>
      </c>
      <c r="BB63" s="126">
        <f t="shared" si="143"/>
        <v>0</v>
      </c>
      <c r="BC63" s="126">
        <f t="shared" si="144"/>
        <v>1.3865824098913836E-2</v>
      </c>
      <c r="BD63" s="251">
        <f t="shared" si="145"/>
        <v>4.0700210966575015E-2</v>
      </c>
      <c r="BF63" s="115"/>
      <c r="BG63" s="115"/>
      <c r="BH63" s="115"/>
      <c r="BI63" s="115"/>
      <c r="BJ63" s="115"/>
      <c r="BK63" s="115"/>
      <c r="BL63" s="115"/>
      <c r="BM63" s="115"/>
      <c r="BN63" s="115"/>
      <c r="BO63" s="115"/>
      <c r="BP63" s="115"/>
      <c r="BQ63" s="115"/>
      <c r="BR63" s="115"/>
      <c r="BS63" s="115"/>
      <c r="BT63" s="115"/>
      <c r="BU63" s="115"/>
      <c r="BV63" s="115"/>
      <c r="BW63" s="115"/>
      <c r="BX63" s="115"/>
      <c r="BY63" s="115"/>
      <c r="BZ63" s="115"/>
      <c r="CA63" s="115"/>
      <c r="CB63" s="115"/>
      <c r="CC63" s="115"/>
      <c r="CD63" s="115"/>
      <c r="CE63" s="115"/>
      <c r="CF63" s="115"/>
      <c r="CG63" s="115"/>
      <c r="CH63" s="115"/>
      <c r="CI63" s="115"/>
      <c r="CJ63" s="115"/>
      <c r="CK63" s="115"/>
      <c r="CL63" s="115"/>
      <c r="CM63" s="115"/>
      <c r="CN63" s="115"/>
      <c r="CO63" s="115"/>
      <c r="CP63" s="115"/>
      <c r="CQ63" s="115"/>
      <c r="CR63" s="115"/>
      <c r="CS63" s="115"/>
      <c r="CT63" s="115"/>
      <c r="CU63" s="115"/>
      <c r="CV63" s="115"/>
      <c r="EL63" s="115"/>
      <c r="EM63" s="115"/>
      <c r="EN63" s="115"/>
      <c r="EO63" s="115"/>
    </row>
    <row r="64" spans="1:145" s="2" customFormat="1" ht="15.75" x14ac:dyDescent="0.25">
      <c r="A64" s="13"/>
      <c r="B64" s="150"/>
      <c r="C64" s="206"/>
      <c r="D64" s="150"/>
      <c r="F64" s="150" t="s">
        <v>287</v>
      </c>
      <c r="G64" s="130">
        <v>3.6004950000000001E-2</v>
      </c>
      <c r="H64" s="210"/>
      <c r="I64" s="187">
        <f t="shared" si="132"/>
        <v>0</v>
      </c>
      <c r="J64" s="255">
        <v>3.6004950000000001E-2</v>
      </c>
      <c r="K64" s="186">
        <f t="shared" si="146"/>
        <v>3.2603424232581182E-2</v>
      </c>
      <c r="L64" s="152">
        <f t="shared" si="133"/>
        <v>0</v>
      </c>
      <c r="N64" s="235"/>
      <c r="O64" s="179"/>
      <c r="P64" s="179"/>
      <c r="Q64" s="179"/>
      <c r="R64" s="236"/>
      <c r="AP64" s="250">
        <f t="shared" si="134"/>
        <v>3.6004950000000001E-2</v>
      </c>
      <c r="AQ64" s="126">
        <f t="shared" si="135"/>
        <v>0</v>
      </c>
      <c r="AR64" s="126">
        <f t="shared" si="136"/>
        <v>0.13242225859247134</v>
      </c>
      <c r="AV64" s="130">
        <f t="shared" si="137"/>
        <v>3.6004950000000001E-2</v>
      </c>
      <c r="AW64" s="169">
        <f t="shared" si="138"/>
        <v>0</v>
      </c>
      <c r="AX64" s="2">
        <f t="shared" si="139"/>
        <v>0</v>
      </c>
      <c r="AY64" s="126">
        <f t="shared" si="140"/>
        <v>3.6004950000000001E-2</v>
      </c>
      <c r="AZ64" s="126">
        <f t="shared" si="141"/>
        <v>3.20216533763149E-2</v>
      </c>
      <c r="BA64" s="2">
        <f t="shared" si="142"/>
        <v>0</v>
      </c>
      <c r="BB64" s="126">
        <f t="shared" si="143"/>
        <v>3.2603424232581182E-2</v>
      </c>
      <c r="BC64" s="126">
        <f t="shared" si="144"/>
        <v>0</v>
      </c>
      <c r="BD64" s="251">
        <f t="shared" si="145"/>
        <v>9.5700496056541254E-2</v>
      </c>
      <c r="BF64" s="115"/>
      <c r="BG64" s="115"/>
      <c r="BH64" s="115"/>
      <c r="BI64" s="115"/>
      <c r="BJ64" s="115"/>
      <c r="BK64" s="115"/>
      <c r="BL64" s="115"/>
      <c r="BM64" s="115"/>
      <c r="BN64" s="115"/>
      <c r="BO64" s="115"/>
      <c r="BP64" s="115"/>
      <c r="BQ64" s="115"/>
      <c r="BR64" s="115"/>
      <c r="BS64" s="115"/>
      <c r="BT64" s="115"/>
      <c r="BU64" s="115"/>
      <c r="BV64" s="115"/>
      <c r="BW64" s="115"/>
      <c r="BX64" s="115"/>
      <c r="BY64" s="115"/>
      <c r="BZ64" s="115"/>
      <c r="CA64" s="115"/>
      <c r="CB64" s="115"/>
      <c r="CC64" s="115"/>
      <c r="CD64" s="115"/>
      <c r="CE64" s="115"/>
      <c r="CF64" s="115"/>
      <c r="CG64" s="115"/>
      <c r="CH64" s="115"/>
      <c r="CI64" s="115"/>
      <c r="CJ64" s="115"/>
      <c r="CK64" s="115"/>
      <c r="CL64" s="115"/>
      <c r="CM64" s="115"/>
      <c r="CN64" s="115"/>
      <c r="CO64" s="115"/>
      <c r="CP64" s="115"/>
      <c r="CQ64" s="115"/>
      <c r="CR64" s="115"/>
      <c r="CS64" s="115"/>
      <c r="CT64" s="115"/>
      <c r="CU64" s="115"/>
      <c r="CV64" s="115"/>
      <c r="EL64" s="115"/>
      <c r="EM64" s="115"/>
      <c r="EN64" s="115"/>
      <c r="EO64" s="115"/>
    </row>
    <row r="65" spans="1:145" s="2" customFormat="1" ht="15.75" x14ac:dyDescent="0.25">
      <c r="A65" s="13"/>
      <c r="B65" s="153"/>
      <c r="C65" s="206"/>
      <c r="D65" s="153"/>
      <c r="F65" s="153" t="s">
        <v>288</v>
      </c>
      <c r="G65" s="131">
        <v>1.6964130000000001E-2</v>
      </c>
      <c r="H65" s="211"/>
      <c r="I65" s="188">
        <f t="shared" si="132"/>
        <v>0</v>
      </c>
      <c r="J65" s="255">
        <v>1.6964130000000001E-2</v>
      </c>
      <c r="K65" s="186">
        <f t="shared" si="146"/>
        <v>1.5361463552279825E-2</v>
      </c>
      <c r="L65" s="154">
        <f t="shared" si="133"/>
        <v>0</v>
      </c>
      <c r="N65" s="238"/>
      <c r="O65" s="179"/>
      <c r="P65" s="179"/>
      <c r="Q65" s="179"/>
      <c r="R65" s="236"/>
      <c r="AP65" s="250">
        <f t="shared" si="134"/>
        <v>1.6964130000000001E-2</v>
      </c>
      <c r="AQ65" s="126">
        <f t="shared" si="135"/>
        <v>0</v>
      </c>
      <c r="AR65" s="126">
        <f t="shared" si="136"/>
        <v>6.2392210228213091E-2</v>
      </c>
      <c r="AV65" s="131">
        <f t="shared" si="137"/>
        <v>1.6964130000000001E-2</v>
      </c>
      <c r="AW65" s="170">
        <f t="shared" si="138"/>
        <v>0</v>
      </c>
      <c r="AX65" s="2">
        <f t="shared" si="139"/>
        <v>0</v>
      </c>
      <c r="AY65" s="126">
        <f t="shared" si="140"/>
        <v>1.6964130000000001E-2</v>
      </c>
      <c r="AZ65" s="126">
        <f t="shared" si="141"/>
        <v>1.5087355785544623E-2</v>
      </c>
      <c r="BA65" s="2">
        <f t="shared" si="142"/>
        <v>0</v>
      </c>
      <c r="BB65" s="126">
        <f t="shared" si="143"/>
        <v>1.5361463552279825E-2</v>
      </c>
      <c r="BC65" s="126">
        <f t="shared" si="144"/>
        <v>0</v>
      </c>
      <c r="BD65" s="251">
        <f t="shared" si="145"/>
        <v>4.5090346082070756E-2</v>
      </c>
      <c r="BF65" s="115"/>
      <c r="BG65" s="115"/>
      <c r="BH65" s="115"/>
      <c r="BI65" s="115"/>
      <c r="BJ65" s="115"/>
      <c r="BK65" s="115"/>
      <c r="BL65" s="115"/>
      <c r="BM65" s="115"/>
      <c r="BN65" s="115"/>
      <c r="BO65" s="115"/>
      <c r="BP65" s="115"/>
      <c r="BQ65" s="115"/>
      <c r="BR65" s="115"/>
      <c r="BS65" s="115"/>
      <c r="BT65" s="115"/>
      <c r="BU65" s="115"/>
      <c r="BV65" s="115"/>
      <c r="BW65" s="115"/>
      <c r="BX65" s="115"/>
      <c r="BY65" s="115"/>
      <c r="BZ65" s="115"/>
      <c r="CA65" s="115"/>
      <c r="CB65" s="115"/>
      <c r="CC65" s="115"/>
      <c r="CD65" s="115"/>
      <c r="CE65" s="115"/>
      <c r="CF65" s="115"/>
      <c r="CG65" s="115"/>
      <c r="CH65" s="115"/>
      <c r="CI65" s="115"/>
      <c r="CJ65" s="115"/>
      <c r="CK65" s="115"/>
      <c r="CL65" s="115"/>
      <c r="CM65" s="115"/>
      <c r="CN65" s="115"/>
      <c r="CO65" s="115"/>
      <c r="CP65" s="115"/>
      <c r="CQ65" s="115"/>
      <c r="CR65" s="115"/>
      <c r="CS65" s="115"/>
      <c r="CT65" s="115"/>
      <c r="CU65" s="115"/>
      <c r="CV65" s="115"/>
      <c r="EL65" s="115"/>
      <c r="EM65" s="115"/>
      <c r="EN65" s="115"/>
      <c r="EO65" s="115"/>
    </row>
    <row r="66" spans="1:145" s="2" customFormat="1" ht="15.75" x14ac:dyDescent="0.25">
      <c r="A66" s="13"/>
      <c r="B66" s="153"/>
      <c r="C66" s="206"/>
      <c r="D66" s="153"/>
      <c r="F66" s="153" t="s">
        <v>260</v>
      </c>
      <c r="G66" s="131">
        <v>1.7841585000000004E-2</v>
      </c>
      <c r="H66" s="211"/>
      <c r="I66" s="188">
        <f t="shared" si="132"/>
        <v>0</v>
      </c>
      <c r="J66" s="255">
        <v>1.7841585000000004E-2</v>
      </c>
      <c r="K66" s="186">
        <f t="shared" si="146"/>
        <v>1.6156022011880506E-2</v>
      </c>
      <c r="L66" s="154">
        <f t="shared" si="133"/>
        <v>0</v>
      </c>
      <c r="N66" s="238"/>
      <c r="O66" s="179"/>
      <c r="P66" s="179"/>
      <c r="Q66" s="179"/>
      <c r="R66" s="236"/>
      <c r="AP66" s="250">
        <f t="shared" si="134"/>
        <v>1.7841585000000004E-2</v>
      </c>
      <c r="AQ66" s="126">
        <f t="shared" si="135"/>
        <v>0</v>
      </c>
      <c r="AR66" s="126">
        <f t="shared" si="136"/>
        <v>6.5619393515879296E-2</v>
      </c>
      <c r="AV66" s="131">
        <f t="shared" si="137"/>
        <v>1.7841585000000004E-2</v>
      </c>
      <c r="AW66" s="170">
        <f t="shared" si="138"/>
        <v>0</v>
      </c>
      <c r="AX66" s="2">
        <f t="shared" si="139"/>
        <v>0</v>
      </c>
      <c r="AY66" s="126">
        <f t="shared" si="140"/>
        <v>1.7841585000000004E-2</v>
      </c>
      <c r="AZ66" s="126">
        <f t="shared" si="141"/>
        <v>1.5867736257210725E-2</v>
      </c>
      <c r="BA66" s="2">
        <f t="shared" si="142"/>
        <v>0</v>
      </c>
      <c r="BB66" s="126">
        <f t="shared" si="143"/>
        <v>1.6156022011880506E-2</v>
      </c>
      <c r="BC66" s="126">
        <f t="shared" si="144"/>
        <v>0</v>
      </c>
      <c r="BD66" s="251">
        <f t="shared" si="145"/>
        <v>4.7422605362177864E-2</v>
      </c>
      <c r="BF66" s="115"/>
      <c r="BG66" s="115"/>
      <c r="BH66" s="115"/>
      <c r="BI66" s="115"/>
      <c r="BJ66" s="115"/>
      <c r="BK66" s="115"/>
      <c r="BL66" s="115"/>
      <c r="BM66" s="115"/>
      <c r="BN66" s="115"/>
      <c r="BO66" s="115"/>
      <c r="BP66" s="115"/>
      <c r="BQ66" s="115"/>
      <c r="BR66" s="115"/>
      <c r="BS66" s="115"/>
      <c r="BT66" s="115"/>
      <c r="BU66" s="115"/>
      <c r="BV66" s="115"/>
      <c r="BW66" s="115"/>
      <c r="BX66" s="115"/>
      <c r="BY66" s="115"/>
      <c r="BZ66" s="115"/>
      <c r="CA66" s="115"/>
      <c r="CB66" s="115"/>
      <c r="CC66" s="115"/>
      <c r="CD66" s="115"/>
      <c r="CE66" s="115"/>
      <c r="CF66" s="115"/>
      <c r="CG66" s="115"/>
      <c r="CH66" s="115"/>
      <c r="CI66" s="115"/>
      <c r="CJ66" s="115"/>
      <c r="CK66" s="115"/>
      <c r="CL66" s="115"/>
      <c r="CM66" s="115"/>
      <c r="CN66" s="115"/>
      <c r="CO66" s="115"/>
      <c r="CP66" s="115"/>
      <c r="CQ66" s="115"/>
      <c r="CR66" s="115"/>
      <c r="CS66" s="115"/>
      <c r="CT66" s="115"/>
      <c r="CU66" s="115"/>
      <c r="CV66" s="115"/>
      <c r="EL66" s="115"/>
      <c r="EM66" s="115"/>
      <c r="EN66" s="115"/>
      <c r="EO66" s="115"/>
    </row>
    <row r="67" spans="1:145" s="2" customFormat="1" ht="15.75" x14ac:dyDescent="0.25">
      <c r="A67" s="13"/>
      <c r="B67" s="155"/>
      <c r="C67" s="206"/>
      <c r="D67" s="155"/>
      <c r="F67" s="155" t="s">
        <v>289</v>
      </c>
      <c r="G67" s="132">
        <v>2.3691285000000003E-2</v>
      </c>
      <c r="H67" s="212"/>
      <c r="I67" s="187">
        <f t="shared" si="132"/>
        <v>0</v>
      </c>
      <c r="J67" s="255">
        <v>2.3691285000000003E-2</v>
      </c>
      <c r="K67" s="186">
        <f t="shared" si="146"/>
        <v>2.1453078409218375E-2</v>
      </c>
      <c r="L67" s="152">
        <f t="shared" si="133"/>
        <v>0</v>
      </c>
      <c r="N67" s="238"/>
      <c r="O67" s="179"/>
      <c r="P67" s="179"/>
      <c r="Q67" s="179"/>
      <c r="R67" s="236"/>
      <c r="AP67" s="250">
        <f t="shared" si="134"/>
        <v>2.3691285000000003E-2</v>
      </c>
      <c r="AQ67" s="126">
        <f t="shared" si="135"/>
        <v>0</v>
      </c>
      <c r="AR67" s="126">
        <f t="shared" si="136"/>
        <v>8.7133948766987254E-2</v>
      </c>
      <c r="AV67" s="132">
        <f t="shared" si="137"/>
        <v>2.3691285000000003E-2</v>
      </c>
      <c r="AW67" s="171">
        <f t="shared" si="138"/>
        <v>0</v>
      </c>
      <c r="AX67" s="2">
        <f t="shared" si="139"/>
        <v>0</v>
      </c>
      <c r="AY67" s="126">
        <f t="shared" si="140"/>
        <v>2.3691285000000003E-2</v>
      </c>
      <c r="AZ67" s="126">
        <f t="shared" si="141"/>
        <v>2.1070272734984734E-2</v>
      </c>
      <c r="BA67" s="2">
        <f t="shared" si="142"/>
        <v>0</v>
      </c>
      <c r="BB67" s="126">
        <f t="shared" si="143"/>
        <v>2.1453078409218375E-2</v>
      </c>
      <c r="BC67" s="126">
        <f t="shared" si="144"/>
        <v>0</v>
      </c>
      <c r="BD67" s="251">
        <f t="shared" si="145"/>
        <v>6.2971000562891913E-2</v>
      </c>
      <c r="BF67" s="115"/>
      <c r="BG67" s="115"/>
      <c r="BH67" s="115"/>
      <c r="BI67" s="115"/>
      <c r="BJ67" s="115"/>
      <c r="BK67" s="115"/>
      <c r="BL67" s="115"/>
      <c r="BM67" s="115"/>
      <c r="BN67" s="115"/>
      <c r="BO67" s="115"/>
      <c r="BP67" s="115"/>
      <c r="BQ67" s="115"/>
      <c r="BR67" s="115"/>
      <c r="BS67" s="115"/>
      <c r="BT67" s="115"/>
      <c r="BU67" s="115"/>
      <c r="BV67" s="115"/>
      <c r="BW67" s="115"/>
      <c r="BX67" s="115"/>
      <c r="BY67" s="115"/>
      <c r="BZ67" s="115"/>
      <c r="CA67" s="115"/>
      <c r="CB67" s="115"/>
      <c r="CC67" s="115"/>
      <c r="CD67" s="115"/>
      <c r="CE67" s="115"/>
      <c r="CF67" s="115"/>
      <c r="CG67" s="115"/>
      <c r="CH67" s="115"/>
      <c r="CI67" s="115"/>
      <c r="CJ67" s="115"/>
      <c r="CK67" s="115"/>
      <c r="CL67" s="115"/>
      <c r="CM67" s="115"/>
      <c r="CN67" s="115"/>
      <c r="CO67" s="115"/>
      <c r="CP67" s="115"/>
      <c r="CQ67" s="115"/>
      <c r="CR67" s="115"/>
      <c r="CS67" s="115"/>
      <c r="CT67" s="115"/>
      <c r="CU67" s="115"/>
      <c r="CV67" s="115"/>
      <c r="EL67" s="115"/>
      <c r="EM67" s="115"/>
      <c r="EN67" s="115"/>
      <c r="EO67" s="115"/>
    </row>
    <row r="68" spans="1:145" s="2" customFormat="1" ht="15.75" x14ac:dyDescent="0.25">
      <c r="A68" s="13"/>
      <c r="B68" s="155"/>
      <c r="C68" s="206"/>
      <c r="D68" s="155"/>
      <c r="F68" s="155" t="s">
        <v>290</v>
      </c>
      <c r="G68" s="132">
        <v>3.2534655000000003E-2</v>
      </c>
      <c r="H68" s="212"/>
      <c r="I68" s="187">
        <f t="shared" si="132"/>
        <v>0</v>
      </c>
      <c r="J68" s="255">
        <v>3.2534655000000003E-2</v>
      </c>
      <c r="K68" s="186">
        <f t="shared" si="146"/>
        <v>2.9460981315782099E-2</v>
      </c>
      <c r="L68" s="152">
        <f t="shared" si="133"/>
        <v>0</v>
      </c>
      <c r="N68" s="238"/>
      <c r="O68" s="179"/>
      <c r="P68" s="179"/>
      <c r="Q68" s="179"/>
      <c r="R68" s="236"/>
      <c r="AP68" s="250">
        <f t="shared" si="134"/>
        <v>3.2534655000000003E-2</v>
      </c>
      <c r="AQ68" s="126">
        <f t="shared" si="135"/>
        <v>0</v>
      </c>
      <c r="AR68" s="126">
        <f t="shared" si="136"/>
        <v>0.1196588940583681</v>
      </c>
      <c r="AV68" s="132">
        <f t="shared" si="137"/>
        <v>3.2534655000000003E-2</v>
      </c>
      <c r="AW68" s="171">
        <f t="shared" si="138"/>
        <v>0</v>
      </c>
      <c r="AX68" s="2">
        <f t="shared" si="139"/>
        <v>0</v>
      </c>
      <c r="AY68" s="126">
        <f t="shared" si="140"/>
        <v>3.2534655000000003E-2</v>
      </c>
      <c r="AZ68" s="126">
        <f t="shared" si="141"/>
        <v>2.8935283763148967E-2</v>
      </c>
      <c r="BA68" s="2">
        <f t="shared" si="142"/>
        <v>0</v>
      </c>
      <c r="BB68" s="126">
        <f t="shared" si="143"/>
        <v>2.9460981315782099E-2</v>
      </c>
      <c r="BC68" s="126">
        <f t="shared" si="144"/>
        <v>0</v>
      </c>
      <c r="BD68" s="251">
        <f t="shared" si="145"/>
        <v>8.6476515660441983E-2</v>
      </c>
      <c r="BF68" s="115"/>
      <c r="BG68" s="115"/>
      <c r="BH68" s="115"/>
      <c r="BI68" s="115"/>
      <c r="BJ68" s="115"/>
      <c r="BK68" s="115"/>
      <c r="BL68" s="115"/>
      <c r="BM68" s="115"/>
      <c r="BN68" s="115"/>
      <c r="BO68" s="115"/>
      <c r="BP68" s="115"/>
      <c r="BQ68" s="115"/>
      <c r="BR68" s="115"/>
      <c r="BS68" s="115"/>
      <c r="BT68" s="115"/>
      <c r="BU68" s="115"/>
      <c r="BV68" s="115"/>
      <c r="BW68" s="115"/>
      <c r="BX68" s="115"/>
      <c r="BY68" s="115"/>
      <c r="BZ68" s="115"/>
      <c r="CA68" s="115"/>
      <c r="CB68" s="115"/>
      <c r="CC68" s="115"/>
      <c r="CD68" s="115"/>
      <c r="CE68" s="115"/>
      <c r="CF68" s="115"/>
      <c r="CG68" s="115"/>
      <c r="CH68" s="115"/>
      <c r="CI68" s="115"/>
      <c r="CJ68" s="115"/>
      <c r="CK68" s="115"/>
      <c r="CL68" s="115"/>
      <c r="CM68" s="115"/>
      <c r="CN68" s="115"/>
      <c r="CO68" s="115"/>
      <c r="CP68" s="115"/>
      <c r="CQ68" s="115"/>
      <c r="CR68" s="115"/>
      <c r="CS68" s="115"/>
      <c r="CT68" s="115"/>
      <c r="CU68" s="115"/>
      <c r="CV68" s="115"/>
      <c r="EL68" s="115"/>
      <c r="EM68" s="115"/>
      <c r="EN68" s="115"/>
      <c r="EO68" s="115"/>
    </row>
    <row r="69" spans="1:145" s="2" customFormat="1" ht="15.75" x14ac:dyDescent="0.25">
      <c r="A69" s="13"/>
      <c r="B69" s="155"/>
      <c r="C69" s="206"/>
      <c r="D69" s="155"/>
      <c r="F69" s="155" t="s">
        <v>291</v>
      </c>
      <c r="G69" s="132">
        <v>1.9940595000000002E-2</v>
      </c>
      <c r="H69" s="212"/>
      <c r="I69" s="187">
        <f t="shared" si="132"/>
        <v>0</v>
      </c>
      <c r="J69" s="255">
        <v>1.9940595000000002E-2</v>
      </c>
      <c r="K69" s="186">
        <f t="shared" si="146"/>
        <v>1.8056730483866447E-2</v>
      </c>
      <c r="L69" s="152">
        <f t="shared" si="133"/>
        <v>0</v>
      </c>
      <c r="N69" s="238"/>
      <c r="O69" s="179"/>
      <c r="P69" s="179"/>
      <c r="Q69" s="179"/>
      <c r="R69" s="236"/>
      <c r="AP69" s="250">
        <f t="shared" si="134"/>
        <v>1.9940595000000002E-2</v>
      </c>
      <c r="AQ69" s="126">
        <f t="shared" si="135"/>
        <v>0</v>
      </c>
      <c r="AR69" s="126">
        <f t="shared" si="136"/>
        <v>7.3339322164806264E-2</v>
      </c>
      <c r="AV69" s="132">
        <f t="shared" si="137"/>
        <v>1.9940595000000002E-2</v>
      </c>
      <c r="AW69" s="171">
        <f t="shared" si="138"/>
        <v>0</v>
      </c>
      <c r="AX69" s="2">
        <f t="shared" si="139"/>
        <v>0</v>
      </c>
      <c r="AY69" s="126">
        <f t="shared" si="140"/>
        <v>1.9940595000000002E-2</v>
      </c>
      <c r="AZ69" s="126">
        <f t="shared" si="141"/>
        <v>1.7734528758059045E-2</v>
      </c>
      <c r="BA69" s="2">
        <f t="shared" si="142"/>
        <v>0</v>
      </c>
      <c r="BB69" s="126">
        <f t="shared" si="143"/>
        <v>1.8056730483866447E-2</v>
      </c>
      <c r="BC69" s="126">
        <f t="shared" si="144"/>
        <v>0</v>
      </c>
      <c r="BD69" s="251">
        <f t="shared" si="145"/>
        <v>5.3001735404787025E-2</v>
      </c>
      <c r="BF69" s="115"/>
      <c r="BG69" s="115"/>
      <c r="BH69" s="115"/>
      <c r="BI69" s="115"/>
      <c r="BJ69" s="115"/>
      <c r="BK69" s="115"/>
      <c r="BL69" s="115"/>
      <c r="BM69" s="115"/>
      <c r="BN69" s="115"/>
      <c r="BO69" s="115"/>
      <c r="BP69" s="115"/>
      <c r="BQ69" s="115"/>
      <c r="BR69" s="115"/>
      <c r="BS69" s="115"/>
      <c r="BT69" s="115"/>
      <c r="BU69" s="115"/>
      <c r="BV69" s="115"/>
      <c r="BW69" s="115"/>
      <c r="BX69" s="115"/>
      <c r="BY69" s="115"/>
      <c r="BZ69" s="115"/>
      <c r="CA69" s="115"/>
      <c r="CB69" s="115"/>
      <c r="CC69" s="115"/>
      <c r="CD69" s="115"/>
      <c r="CE69" s="115"/>
      <c r="CF69" s="115"/>
      <c r="CG69" s="115"/>
      <c r="CH69" s="115"/>
      <c r="CI69" s="115"/>
      <c r="CJ69" s="115"/>
      <c r="CK69" s="115"/>
      <c r="CL69" s="115"/>
      <c r="CM69" s="115"/>
      <c r="CN69" s="115"/>
      <c r="CO69" s="115"/>
      <c r="CP69" s="115"/>
      <c r="CQ69" s="115"/>
      <c r="CR69" s="115"/>
      <c r="CS69" s="115"/>
      <c r="CT69" s="115"/>
      <c r="CU69" s="115"/>
      <c r="CV69" s="115"/>
      <c r="EL69" s="115"/>
      <c r="EM69" s="115"/>
      <c r="EN69" s="115"/>
      <c r="EO69" s="115"/>
    </row>
    <row r="70" spans="1:145" s="2" customFormat="1" ht="15.75" x14ac:dyDescent="0.25">
      <c r="A70" s="13"/>
      <c r="B70" s="150"/>
      <c r="C70" s="206"/>
      <c r="D70" s="150"/>
      <c r="F70" s="150" t="s">
        <v>292</v>
      </c>
      <c r="G70" s="130">
        <v>6.107775E-2</v>
      </c>
      <c r="H70" s="213"/>
      <c r="I70" s="186">
        <f t="shared" si="132"/>
        <v>0</v>
      </c>
      <c r="J70" s="255">
        <v>6.107775E-2</v>
      </c>
      <c r="K70" s="186">
        <f t="shared" si="146"/>
        <v>5.5307500619263053E-2</v>
      </c>
      <c r="L70" s="151">
        <f t="shared" si="133"/>
        <v>0</v>
      </c>
      <c r="N70" s="238"/>
      <c r="O70" s="179"/>
      <c r="P70" s="179"/>
      <c r="Q70" s="179"/>
      <c r="R70" s="236"/>
      <c r="AP70" s="250">
        <f t="shared" si="134"/>
        <v>6.107775E-2</v>
      </c>
      <c r="AQ70" s="126">
        <f t="shared" si="135"/>
        <v>0</v>
      </c>
      <c r="AR70" s="126">
        <f t="shared" si="136"/>
        <v>0.22463726806303902</v>
      </c>
      <c r="AV70" s="130">
        <f t="shared" si="137"/>
        <v>6.107775E-2</v>
      </c>
      <c r="AW70" s="172">
        <f t="shared" si="138"/>
        <v>0</v>
      </c>
      <c r="AX70" s="2">
        <f t="shared" si="139"/>
        <v>0</v>
      </c>
      <c r="AY70" s="126">
        <f t="shared" si="140"/>
        <v>6.107775E-2</v>
      </c>
      <c r="AZ70" s="126">
        <f t="shared" si="141"/>
        <v>5.4320601459110961E-2</v>
      </c>
      <c r="BA70" s="2">
        <f t="shared" si="142"/>
        <v>0</v>
      </c>
      <c r="BB70" s="126">
        <f t="shared" si="143"/>
        <v>5.5307500619263053E-2</v>
      </c>
      <c r="BC70" s="126">
        <f t="shared" si="144"/>
        <v>0</v>
      </c>
      <c r="BD70" s="251">
        <f t="shared" si="145"/>
        <v>0.1623435381251026</v>
      </c>
      <c r="BF70" s="115"/>
      <c r="BG70" s="115"/>
      <c r="BH70" s="115"/>
      <c r="BI70" s="115"/>
      <c r="BJ70" s="115"/>
      <c r="BK70" s="115"/>
      <c r="BL70" s="115"/>
      <c r="BM70" s="115"/>
      <c r="BN70" s="115"/>
      <c r="BO70" s="115"/>
      <c r="BP70" s="115"/>
      <c r="BQ70" s="115"/>
      <c r="BR70" s="115"/>
      <c r="BS70" s="115"/>
      <c r="BT70" s="115"/>
      <c r="BU70" s="115"/>
      <c r="BV70" s="115"/>
      <c r="BW70" s="115"/>
      <c r="BX70" s="115"/>
      <c r="BY70" s="115"/>
      <c r="BZ70" s="115"/>
      <c r="CA70" s="115"/>
      <c r="CB70" s="115"/>
      <c r="CC70" s="115"/>
      <c r="CD70" s="115"/>
      <c r="CE70" s="115"/>
      <c r="CF70" s="115"/>
      <c r="CG70" s="115"/>
      <c r="CH70" s="115"/>
      <c r="CI70" s="115"/>
      <c r="CJ70" s="115"/>
      <c r="CK70" s="115"/>
      <c r="CL70" s="115"/>
      <c r="CM70" s="115"/>
      <c r="CN70" s="115"/>
      <c r="CO70" s="115"/>
      <c r="CP70" s="115"/>
      <c r="CQ70" s="115"/>
      <c r="CR70" s="115"/>
      <c r="CS70" s="115"/>
      <c r="CT70" s="115"/>
      <c r="CU70" s="115"/>
      <c r="CV70" s="115"/>
      <c r="EL70" s="115"/>
      <c r="EM70" s="115"/>
      <c r="EN70" s="115"/>
      <c r="EO70" s="115"/>
    </row>
    <row r="71" spans="1:145" s="121" customFormat="1" ht="15.75" x14ac:dyDescent="0.25">
      <c r="A71" s="124"/>
      <c r="B71" s="191"/>
      <c r="C71" s="206"/>
      <c r="D71" s="191"/>
      <c r="F71" s="191" t="s">
        <v>314</v>
      </c>
      <c r="G71" s="189"/>
      <c r="H71" s="189">
        <f>AP71/AQ71</f>
        <v>2.6778903620883057</v>
      </c>
      <c r="I71" s="190">
        <f>SUM(I59:I70)</f>
        <v>0.30999999999999994</v>
      </c>
      <c r="J71" s="199"/>
      <c r="K71" s="190">
        <f>SUM(K59:K70)</f>
        <v>0.31</v>
      </c>
      <c r="L71" s="192">
        <f>SUM(L59:L70)</f>
        <v>0.31</v>
      </c>
      <c r="N71" s="240"/>
      <c r="O71" s="222" t="s">
        <v>353</v>
      </c>
      <c r="P71" s="223"/>
      <c r="Q71" s="223">
        <f>SUM(Q59:Q70)</f>
        <v>0.30999999999999994</v>
      </c>
      <c r="R71" s="224">
        <f>SUM(R59:R70)</f>
        <v>0.31</v>
      </c>
      <c r="AP71" s="191">
        <f>SUM(AP59:AP70)</f>
        <v>0.22571255000000001</v>
      </c>
      <c r="AQ71" s="189">
        <f>SUM(AQ59:AQ70)</f>
        <v>8.4287450000000014E-2</v>
      </c>
      <c r="AR71" s="189"/>
      <c r="AV71" s="189"/>
      <c r="AW71" s="241">
        <f>(AX71/AY71)</f>
        <v>-0.11063191654717208</v>
      </c>
      <c r="AX71" s="121">
        <f>SUM(AX59:AX70)</f>
        <v>-3.23424E-2</v>
      </c>
      <c r="AY71" s="241">
        <f>SUM(AY59:AY70)</f>
        <v>0.2923424</v>
      </c>
      <c r="AZ71" s="189"/>
      <c r="BA71" s="189">
        <f>BB71/BC71</f>
        <v>1.9352897221423155</v>
      </c>
      <c r="BB71" s="189">
        <f>SUM(BB59:BB70)</f>
        <v>0.20438861940560094</v>
      </c>
      <c r="BC71" s="189">
        <f>SUM(BC59:BC70)</f>
        <v>0.10561138059439908</v>
      </c>
      <c r="BD71" s="252"/>
      <c r="BF71" s="111"/>
      <c r="BG71" s="111"/>
      <c r="BH71" s="111"/>
      <c r="BI71" s="111"/>
      <c r="BJ71" s="111"/>
      <c r="BK71" s="111"/>
      <c r="BL71" s="111"/>
      <c r="BM71" s="111"/>
      <c r="BN71" s="111"/>
      <c r="BO71" s="111"/>
      <c r="BP71" s="111"/>
      <c r="BQ71" s="111"/>
      <c r="BR71" s="111"/>
      <c r="BS71" s="111"/>
      <c r="BT71" s="111"/>
      <c r="BU71" s="111"/>
      <c r="BV71" s="111"/>
      <c r="BW71" s="111"/>
      <c r="BX71" s="111"/>
      <c r="BY71" s="111"/>
      <c r="BZ71" s="111"/>
      <c r="CA71" s="111"/>
      <c r="CB71" s="111"/>
      <c r="CC71" s="111"/>
      <c r="CD71" s="111"/>
      <c r="CE71" s="111"/>
      <c r="CF71" s="111"/>
      <c r="CG71" s="111"/>
      <c r="CH71" s="111"/>
      <c r="CI71" s="111"/>
      <c r="CJ71" s="111"/>
      <c r="CK71" s="111"/>
      <c r="CL71" s="111"/>
      <c r="CM71" s="111"/>
      <c r="CN71" s="111"/>
      <c r="CO71" s="111"/>
      <c r="CP71" s="111"/>
      <c r="CQ71" s="111"/>
      <c r="CR71" s="111"/>
      <c r="CS71" s="111"/>
      <c r="CT71" s="111"/>
      <c r="CU71" s="111"/>
      <c r="CV71" s="111"/>
      <c r="EL71" s="111"/>
      <c r="EM71" s="111"/>
      <c r="EN71" s="111"/>
      <c r="EO71" s="111"/>
    </row>
    <row r="72" spans="1:145" s="2" customFormat="1" ht="24" thickBot="1" x14ac:dyDescent="0.4">
      <c r="A72" s="13"/>
      <c r="B72" s="193"/>
      <c r="C72" s="207"/>
      <c r="D72" s="193"/>
      <c r="F72" s="193" t="s">
        <v>378</v>
      </c>
      <c r="G72" s="194">
        <f>SUM(G38:G44,G46:G57,G59:G70)</f>
        <v>1.0000000000000002</v>
      </c>
      <c r="H72" s="195"/>
      <c r="I72" s="194">
        <f>SUM(I38:I44,I46:I57,I59:I70)</f>
        <v>0.99999999999999989</v>
      </c>
      <c r="J72" s="195"/>
      <c r="K72" s="194">
        <f>SUM(K38:K44,K46:K57,K59:K70)</f>
        <v>1.0000000000000002</v>
      </c>
      <c r="L72" s="197"/>
      <c r="N72" s="214" t="s">
        <v>352</v>
      </c>
      <c r="O72" s="215"/>
      <c r="P72" s="215"/>
      <c r="Q72" s="216">
        <f>Q45+Q58+Q71</f>
        <v>0.91717999661410377</v>
      </c>
      <c r="R72" s="217">
        <f>R45+R58+R71</f>
        <v>0.94244694285411557</v>
      </c>
      <c r="AP72" s="198"/>
      <c r="AQ72" s="196"/>
      <c r="AR72" s="196"/>
      <c r="AS72" s="196"/>
      <c r="AT72" s="196"/>
      <c r="AU72" s="196"/>
      <c r="AV72" s="196"/>
      <c r="AW72" s="196"/>
      <c r="AX72" s="253"/>
      <c r="AY72" s="196"/>
      <c r="AZ72" s="196"/>
      <c r="BA72" s="196"/>
      <c r="BB72" s="196"/>
      <c r="BC72" s="196"/>
      <c r="BD72" s="254"/>
      <c r="BF72" s="115"/>
      <c r="BG72" s="115"/>
      <c r="BH72" s="115"/>
      <c r="BI72" s="115"/>
      <c r="BJ72" s="115"/>
      <c r="BK72" s="115"/>
      <c r="BL72" s="115"/>
      <c r="BM72" s="115"/>
      <c r="BN72" s="115"/>
      <c r="BO72" s="115"/>
      <c r="BP72" s="115"/>
      <c r="BQ72" s="115"/>
      <c r="BR72" s="115"/>
      <c r="BS72" s="115"/>
      <c r="BT72" s="115"/>
      <c r="BU72" s="115"/>
      <c r="BV72" s="115"/>
      <c r="BW72" s="115"/>
      <c r="BX72" s="115"/>
      <c r="BY72" s="115"/>
      <c r="BZ72" s="115"/>
      <c r="CA72" s="115"/>
      <c r="CB72" s="115"/>
      <c r="CC72" s="115"/>
      <c r="CD72" s="115"/>
      <c r="CE72" s="115"/>
      <c r="CF72" s="115"/>
      <c r="CG72" s="115"/>
      <c r="CH72" s="115"/>
      <c r="CI72" s="115"/>
      <c r="CJ72" s="115"/>
      <c r="CK72" s="115"/>
      <c r="CL72" s="115"/>
      <c r="CM72" s="115"/>
      <c r="CN72" s="115"/>
      <c r="CO72" s="115"/>
      <c r="CP72" s="115"/>
      <c r="CQ72" s="115"/>
      <c r="CR72" s="115"/>
      <c r="CS72" s="115"/>
      <c r="CT72" s="115"/>
      <c r="CU72" s="115"/>
      <c r="CV72" s="115"/>
      <c r="EL72" s="115"/>
      <c r="EM72" s="115"/>
      <c r="EN72" s="115"/>
      <c r="EO72" s="115"/>
    </row>
    <row r="73" spans="1:145" x14ac:dyDescent="0.25">
      <c r="B73"/>
      <c r="C73" s="109"/>
      <c r="D73" s="109"/>
      <c r="E73" s="109"/>
      <c r="F73" s="109"/>
      <c r="AQ73" s="2"/>
      <c r="AR73" s="2"/>
      <c r="AS73" s="2"/>
      <c r="AT73" s="2"/>
      <c r="AU73" s="115"/>
    </row>
    <row r="74" spans="1:145" x14ac:dyDescent="0.25">
      <c r="B74"/>
      <c r="C74" s="109"/>
      <c r="D74" s="110"/>
      <c r="E74" s="110"/>
      <c r="F74" s="110"/>
    </row>
    <row r="75" spans="1:145" x14ac:dyDescent="0.25">
      <c r="B75"/>
      <c r="C75" s="109"/>
      <c r="D75" s="109"/>
      <c r="E75"/>
      <c r="F75"/>
    </row>
  </sheetData>
  <dataValidations count="9">
    <dataValidation type="list" allowBlank="1" showInputMessage="1" showErrorMessage="1" sqref="G4:G31 C6" xr:uid="{00000000-0002-0000-0200-000000000000}">
      <formula1>Crop_name</formula1>
    </dataValidation>
    <dataValidation type="custom" showInputMessage="1" showErrorMessage="1" errorTitle="Ensure weight sum to 100%" error="The sum of weightages given to individual indicators is either more than 100% or less than 100%. " promptTitle="Sum of weight given to indicator" prompt="Weightages given to individual indicators must sum up to 100%" sqref="G72 I72 K72" xr:uid="{00000000-0002-0000-0200-000001000000}">
      <formula1>100%</formula1>
    </dataValidation>
    <dataValidation type="list" allowBlank="1" showInputMessage="1" showErrorMessage="1" sqref="Q4:Q31" xr:uid="{00000000-0002-0000-0200-000002000000}">
      <formula1>Farm_input</formula1>
    </dataValidation>
    <dataValidation type="list" allowBlank="1" showInputMessage="1" showErrorMessage="1" sqref="P4:P31" xr:uid="{00000000-0002-0000-0200-000003000000}">
      <formula1>InputNature</formula1>
    </dataValidation>
    <dataValidation type="list" allowBlank="1" showInputMessage="1" showErrorMessage="1" sqref="E4:E31" xr:uid="{00000000-0002-0000-0200-000004000000}">
      <formula1>Maincrop</formula1>
    </dataValidation>
    <dataValidation type="list" allowBlank="1" showInputMessage="1" showErrorMessage="1" sqref="D4:D31" xr:uid="{00000000-0002-0000-0200-000005000000}">
      <formula1>Processes</formula1>
    </dataValidation>
    <dataValidation type="list" allowBlank="1" showInputMessage="1" showErrorMessage="1" sqref="F33:G34 F4:F31" xr:uid="{00000000-0002-0000-0200-000006000000}">
      <formula1>Field_operation</formula1>
    </dataValidation>
    <dataValidation type="list" allowBlank="1" showInputMessage="1" showErrorMessage="1" sqref="D32:E34" xr:uid="{00000000-0002-0000-0200-000007000000}">
      <formula1>Operation</formula1>
    </dataValidation>
    <dataValidation type="list" allowBlank="1" showInputMessage="1" showErrorMessage="1" sqref="AQ4:AQ31" xr:uid="{00000000-0002-0000-0200-000008000000}">
      <formula1>Output</formula1>
    </dataValidation>
  </dataValidation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C123"/>
  <sheetViews>
    <sheetView topLeftCell="A52" workbookViewId="0">
      <selection activeCell="A4" sqref="A4"/>
    </sheetView>
  </sheetViews>
  <sheetFormatPr defaultRowHeight="15" x14ac:dyDescent="0.25"/>
  <cols>
    <col min="11" max="13" width="7.7109375" customWidth="1"/>
  </cols>
  <sheetData>
    <row r="1" spans="1:29" x14ac:dyDescent="0.25">
      <c r="C1" s="81"/>
      <c r="D1" s="82"/>
      <c r="E1" s="82"/>
      <c r="F1" s="82"/>
      <c r="G1" s="82"/>
      <c r="H1" s="82"/>
      <c r="I1" s="82"/>
      <c r="J1" s="82"/>
      <c r="K1" s="83" t="s">
        <v>127</v>
      </c>
      <c r="L1" s="84"/>
      <c r="M1" s="84"/>
      <c r="N1" s="84"/>
      <c r="O1" s="84"/>
      <c r="P1" s="84"/>
      <c r="Q1" s="85" t="s">
        <v>128</v>
      </c>
      <c r="R1" s="85"/>
      <c r="S1" s="85"/>
      <c r="T1" s="85"/>
      <c r="U1" s="85"/>
      <c r="V1" s="85"/>
      <c r="W1" s="86" t="s">
        <v>129</v>
      </c>
      <c r="X1" s="86" t="s">
        <v>130</v>
      </c>
      <c r="Y1" s="87">
        <v>0.5</v>
      </c>
      <c r="Z1" s="86" t="s">
        <v>131</v>
      </c>
      <c r="AA1" s="87">
        <v>2</v>
      </c>
      <c r="AB1" s="86"/>
    </row>
    <row r="2" spans="1:29" x14ac:dyDescent="0.25">
      <c r="C2" s="81"/>
      <c r="D2" s="88" t="s">
        <v>132</v>
      </c>
      <c r="E2" s="82"/>
      <c r="F2" s="82"/>
      <c r="G2" s="82"/>
      <c r="H2" s="82"/>
      <c r="I2" s="82"/>
      <c r="J2" s="82"/>
      <c r="K2" s="83"/>
      <c r="L2" s="84"/>
      <c r="M2" s="84"/>
      <c r="N2" s="84"/>
      <c r="O2" s="84"/>
      <c r="P2" s="84"/>
      <c r="Q2" s="85"/>
      <c r="R2" s="85"/>
      <c r="S2" s="85"/>
      <c r="T2" s="85"/>
      <c r="U2" s="85"/>
      <c r="V2" s="85"/>
      <c r="W2" s="86" t="s">
        <v>133</v>
      </c>
      <c r="X2" s="87">
        <f>AA1/Y1</f>
        <v>4</v>
      </c>
      <c r="Y2" s="86" t="s">
        <v>134</v>
      </c>
      <c r="Z2" s="87">
        <f>AA1</f>
        <v>2</v>
      </c>
      <c r="AA2" s="86" t="s">
        <v>135</v>
      </c>
      <c r="AB2" s="86"/>
    </row>
    <row r="3" spans="1:29" x14ac:dyDescent="0.25">
      <c r="A3" s="45" t="s">
        <v>40</v>
      </c>
      <c r="B3" s="45" t="s">
        <v>136</v>
      </c>
      <c r="C3" s="89" t="s">
        <v>137</v>
      </c>
      <c r="D3" s="48" t="s">
        <v>138</v>
      </c>
      <c r="E3" s="88" t="s">
        <v>139</v>
      </c>
      <c r="F3" s="88" t="s">
        <v>117</v>
      </c>
      <c r="G3" s="88" t="s">
        <v>140</v>
      </c>
      <c r="H3" s="88" t="s">
        <v>118</v>
      </c>
      <c r="I3" s="88" t="s">
        <v>141</v>
      </c>
      <c r="J3" s="88" t="s">
        <v>142</v>
      </c>
      <c r="K3" s="83" t="s">
        <v>139</v>
      </c>
      <c r="L3" s="83" t="s">
        <v>117</v>
      </c>
      <c r="M3" s="83" t="s">
        <v>140</v>
      </c>
      <c r="N3" s="83" t="s">
        <v>118</v>
      </c>
      <c r="O3" s="83" t="s">
        <v>141</v>
      </c>
      <c r="P3" s="83" t="s">
        <v>142</v>
      </c>
      <c r="Q3" s="90" t="s">
        <v>139</v>
      </c>
      <c r="R3" s="90" t="s">
        <v>117</v>
      </c>
      <c r="S3" s="90" t="s">
        <v>140</v>
      </c>
      <c r="T3" s="90" t="s">
        <v>118</v>
      </c>
      <c r="U3" s="90" t="s">
        <v>141</v>
      </c>
      <c r="V3" s="90" t="s">
        <v>142</v>
      </c>
      <c r="W3" s="91" t="s">
        <v>139</v>
      </c>
      <c r="X3" s="91" t="s">
        <v>117</v>
      </c>
      <c r="Y3" s="91" t="s">
        <v>140</v>
      </c>
      <c r="Z3" s="91" t="s">
        <v>118</v>
      </c>
      <c r="AA3" s="91" t="s">
        <v>141</v>
      </c>
      <c r="AB3" s="91" t="s">
        <v>142</v>
      </c>
    </row>
    <row r="4" spans="1:29" x14ac:dyDescent="0.25">
      <c r="A4" s="92" t="s">
        <v>72</v>
      </c>
      <c r="B4" s="92">
        <f>C4*2</f>
        <v>2000</v>
      </c>
      <c r="C4" s="93">
        <v>1000</v>
      </c>
      <c r="D4" s="94"/>
      <c r="E4" s="94"/>
      <c r="F4" s="82"/>
      <c r="G4" s="82"/>
      <c r="H4" s="82"/>
      <c r="I4" s="82"/>
      <c r="J4" s="82"/>
      <c r="K4" s="84"/>
      <c r="L4" s="84"/>
      <c r="M4" s="84"/>
      <c r="N4" s="84"/>
      <c r="O4" s="84"/>
      <c r="P4" s="84"/>
      <c r="Q4" s="85"/>
      <c r="R4" s="85"/>
      <c r="S4" s="85"/>
      <c r="T4" s="85"/>
      <c r="U4" s="85"/>
      <c r="V4" s="85"/>
      <c r="W4" s="86"/>
      <c r="X4" s="86"/>
      <c r="Y4" s="86"/>
      <c r="Z4" s="86"/>
      <c r="AA4" s="86"/>
      <c r="AB4" s="86"/>
    </row>
    <row r="5" spans="1:29" x14ac:dyDescent="0.25">
      <c r="A5" s="92" t="s">
        <v>143</v>
      </c>
      <c r="B5" s="92">
        <f t="shared" ref="B5:B53" si="0">C5*2</f>
        <v>880</v>
      </c>
      <c r="C5" s="93">
        <v>440</v>
      </c>
      <c r="D5" s="94"/>
      <c r="E5" s="94"/>
      <c r="F5" s="82"/>
      <c r="G5" s="82"/>
      <c r="H5" s="82"/>
      <c r="I5" s="82"/>
      <c r="J5" s="82"/>
      <c r="K5" s="84"/>
      <c r="L5" s="84"/>
      <c r="M5" s="84"/>
      <c r="N5" s="84"/>
      <c r="O5" s="84"/>
      <c r="P5" s="84"/>
      <c r="Q5" s="85"/>
      <c r="R5" s="85"/>
      <c r="S5" s="85"/>
      <c r="T5" s="85"/>
      <c r="U5" s="85"/>
      <c r="V5" s="85"/>
      <c r="W5" s="86"/>
      <c r="X5" s="86"/>
      <c r="Y5" s="86"/>
      <c r="Z5" s="86"/>
      <c r="AA5" s="86"/>
      <c r="AB5" s="86"/>
    </row>
    <row r="6" spans="1:29" x14ac:dyDescent="0.25">
      <c r="A6" s="9" t="s">
        <v>111</v>
      </c>
      <c r="B6" s="92">
        <f t="shared" si="0"/>
        <v>1600</v>
      </c>
      <c r="C6" s="93">
        <v>800</v>
      </c>
      <c r="D6" s="94"/>
      <c r="E6" s="94"/>
      <c r="F6" s="82"/>
      <c r="G6" s="82"/>
      <c r="H6" s="82"/>
      <c r="I6" s="82"/>
      <c r="J6" s="82"/>
      <c r="K6" s="84"/>
      <c r="L6" s="84"/>
      <c r="M6" s="84"/>
      <c r="N6" s="84"/>
      <c r="O6" s="84"/>
      <c r="P6" s="84"/>
      <c r="Q6" s="85"/>
      <c r="R6" s="85"/>
      <c r="S6" s="85"/>
      <c r="T6" s="85"/>
      <c r="U6" s="85"/>
      <c r="V6" s="85"/>
      <c r="W6" s="86"/>
      <c r="X6" s="86"/>
      <c r="Y6" s="86"/>
      <c r="Z6" s="86"/>
      <c r="AA6" s="86"/>
      <c r="AB6" s="86"/>
    </row>
    <row r="7" spans="1:29" x14ac:dyDescent="0.25">
      <c r="A7" s="92" t="s">
        <v>82</v>
      </c>
      <c r="B7" s="92">
        <f t="shared" si="0"/>
        <v>9060.24</v>
      </c>
      <c r="C7" s="93">
        <v>4530.12</v>
      </c>
      <c r="D7" s="94"/>
      <c r="E7" s="94"/>
      <c r="F7" s="82"/>
      <c r="G7" s="82"/>
      <c r="H7" s="82"/>
      <c r="I7" s="82"/>
      <c r="J7" s="82"/>
      <c r="K7" s="84"/>
      <c r="L7" s="84"/>
      <c r="M7" s="84"/>
      <c r="N7" s="84"/>
      <c r="O7" s="84"/>
      <c r="P7" s="84"/>
      <c r="Q7" s="85"/>
      <c r="R7" s="85"/>
      <c r="S7" s="85"/>
      <c r="T7" s="85"/>
      <c r="U7" s="85"/>
      <c r="V7" s="85"/>
      <c r="W7" s="86"/>
      <c r="X7" s="86"/>
      <c r="Y7" s="86"/>
      <c r="Z7" s="86"/>
      <c r="AA7" s="86"/>
      <c r="AB7" s="86"/>
    </row>
    <row r="8" spans="1:29" x14ac:dyDescent="0.25">
      <c r="A8" s="92" t="s">
        <v>144</v>
      </c>
      <c r="B8" s="92">
        <f t="shared" si="0"/>
        <v>816</v>
      </c>
      <c r="C8" s="93">
        <v>408</v>
      </c>
      <c r="D8" s="94"/>
      <c r="E8" s="94"/>
      <c r="F8" s="82"/>
      <c r="G8" s="82"/>
      <c r="H8" s="82"/>
      <c r="I8" s="82"/>
      <c r="J8" s="82"/>
      <c r="K8" s="95">
        <v>60.666666666666664</v>
      </c>
      <c r="L8" s="95">
        <v>9.3333333333333339</v>
      </c>
      <c r="M8" s="95">
        <v>40</v>
      </c>
      <c r="N8" s="84"/>
      <c r="O8" s="84"/>
      <c r="P8" s="84"/>
      <c r="Q8" s="85"/>
      <c r="R8" s="85"/>
      <c r="S8" s="85"/>
      <c r="T8" s="85"/>
      <c r="U8" s="85"/>
      <c r="V8" s="85"/>
      <c r="W8" s="95">
        <f>IF(K8&gt;0,K8*$X$2*$C8/1000,Q8*$Z$2*$C8/1000)</f>
        <v>99.007999999999996</v>
      </c>
      <c r="X8" s="95">
        <f>IF(L8&gt;0,L8*$X$2*$C8/1000,R8*$Z$2*$C8/1000)</f>
        <v>15.232000000000001</v>
      </c>
      <c r="Y8" s="95">
        <f t="shared" ref="Y8" si="1">IF(M8&gt;0,M8*$X$2*$C8/1000,S8*$Z$2*$C8/1000)</f>
        <v>65.28</v>
      </c>
      <c r="Z8" s="86"/>
      <c r="AA8" s="86"/>
      <c r="AB8" s="86"/>
      <c r="AC8" t="s">
        <v>91</v>
      </c>
    </row>
    <row r="9" spans="1:29" x14ac:dyDescent="0.25">
      <c r="A9" s="92" t="s">
        <v>78</v>
      </c>
      <c r="B9" s="92">
        <f t="shared" si="0"/>
        <v>14666.64</v>
      </c>
      <c r="C9" s="93">
        <v>7333.32</v>
      </c>
      <c r="D9" s="94"/>
      <c r="E9" s="94"/>
      <c r="F9" s="82"/>
      <c r="G9" s="82"/>
      <c r="H9" s="82"/>
      <c r="I9" s="82"/>
      <c r="J9" s="82"/>
      <c r="K9" s="84"/>
      <c r="L9" s="84"/>
      <c r="M9" s="84"/>
      <c r="N9" s="84"/>
      <c r="O9" s="84"/>
      <c r="P9" s="84"/>
      <c r="Q9" s="85"/>
      <c r="R9" s="85"/>
      <c r="S9" s="85"/>
      <c r="T9" s="85"/>
      <c r="U9" s="85"/>
      <c r="V9" s="85"/>
      <c r="W9" s="86"/>
      <c r="X9" s="86"/>
      <c r="Y9" s="86"/>
      <c r="Z9" s="86"/>
      <c r="AA9" s="86"/>
      <c r="AB9" s="86"/>
    </row>
    <row r="10" spans="1:29" x14ac:dyDescent="0.25">
      <c r="A10" s="92" t="s">
        <v>77</v>
      </c>
      <c r="B10" s="92">
        <f t="shared" si="0"/>
        <v>14896.4</v>
      </c>
      <c r="C10" s="93">
        <v>7448.2</v>
      </c>
      <c r="D10" s="94"/>
      <c r="E10" s="94"/>
      <c r="F10" s="82"/>
      <c r="G10" s="82"/>
      <c r="H10" s="82"/>
      <c r="I10" s="82"/>
      <c r="J10" s="82"/>
      <c r="K10" s="84"/>
      <c r="L10" s="84"/>
      <c r="M10" s="84"/>
      <c r="N10" s="84"/>
      <c r="O10" s="84"/>
      <c r="P10" s="84"/>
      <c r="Q10" s="85"/>
      <c r="R10" s="85"/>
      <c r="S10" s="85"/>
      <c r="T10" s="85"/>
      <c r="U10" s="85"/>
      <c r="V10" s="85"/>
      <c r="W10" s="86"/>
      <c r="X10" s="86"/>
      <c r="Y10" s="86"/>
      <c r="Z10" s="86"/>
      <c r="AA10" s="86"/>
      <c r="AB10" s="86"/>
    </row>
    <row r="11" spans="1:29" x14ac:dyDescent="0.25">
      <c r="A11" s="92" t="s">
        <v>91</v>
      </c>
      <c r="B11" s="92">
        <f t="shared" si="0"/>
        <v>644.26</v>
      </c>
      <c r="C11" s="93">
        <v>322.13</v>
      </c>
      <c r="D11" s="94">
        <v>1.5</v>
      </c>
      <c r="E11" s="82">
        <v>91</v>
      </c>
      <c r="F11" s="82">
        <v>14</v>
      </c>
      <c r="G11" s="82">
        <v>60</v>
      </c>
      <c r="H11" s="82">
        <v>9</v>
      </c>
      <c r="I11" s="82">
        <v>39</v>
      </c>
      <c r="J11" s="82">
        <v>18</v>
      </c>
      <c r="K11" s="96">
        <f>E11/$D11</f>
        <v>60.666666666666664</v>
      </c>
      <c r="L11" s="96">
        <f t="shared" ref="L11:P11" si="2">F11/$D11</f>
        <v>9.3333333333333339</v>
      </c>
      <c r="M11" s="96">
        <f t="shared" si="2"/>
        <v>40</v>
      </c>
      <c r="N11" s="96">
        <f t="shared" si="2"/>
        <v>6</v>
      </c>
      <c r="O11" s="96">
        <f t="shared" si="2"/>
        <v>26</v>
      </c>
      <c r="P11" s="96">
        <f t="shared" si="2"/>
        <v>12</v>
      </c>
      <c r="Q11" s="85"/>
      <c r="R11" s="85"/>
      <c r="S11" s="85"/>
      <c r="T11" s="85"/>
      <c r="U11" s="85"/>
      <c r="V11" s="85"/>
      <c r="W11" s="97">
        <f>IF(K11&gt;0,K11*$X$2*$C11/1000,Q11*$Z$2*$C11/1000)</f>
        <v>78.170213333333336</v>
      </c>
      <c r="X11" s="97">
        <f>IF(L11&gt;0,L11*$X$2*$C11/1000,R11*$Z$2*$C11/1000)</f>
        <v>12.026186666666666</v>
      </c>
      <c r="Y11" s="97">
        <f t="shared" ref="Y11:AB11" si="3">IF(M11&gt;0,M11*$X$2*$C11/1000,S11*$Z$2*$C11/1000)</f>
        <v>51.540800000000004</v>
      </c>
      <c r="Z11" s="97">
        <f t="shared" si="3"/>
        <v>7.7311199999999998</v>
      </c>
      <c r="AA11" s="97">
        <f t="shared" si="3"/>
        <v>33.501519999999999</v>
      </c>
      <c r="AB11" s="97">
        <f t="shared" si="3"/>
        <v>15.46224</v>
      </c>
    </row>
    <row r="12" spans="1:29" x14ac:dyDescent="0.25">
      <c r="A12" s="92" t="s">
        <v>74</v>
      </c>
      <c r="B12" s="92">
        <f t="shared" si="0"/>
        <v>1313.84</v>
      </c>
      <c r="C12" s="93">
        <v>656.92</v>
      </c>
      <c r="D12" s="94"/>
      <c r="E12" s="94"/>
      <c r="F12" s="82"/>
      <c r="G12" s="82"/>
      <c r="H12" s="82"/>
      <c r="I12" s="82"/>
      <c r="J12" s="82"/>
      <c r="K12" s="84"/>
      <c r="L12" s="84"/>
      <c r="M12" s="84"/>
      <c r="N12" s="84"/>
      <c r="O12" s="84"/>
      <c r="P12" s="84"/>
      <c r="Q12" s="85"/>
      <c r="R12" s="85"/>
      <c r="S12" s="85"/>
      <c r="T12" s="85"/>
      <c r="U12" s="85"/>
      <c r="V12" s="85"/>
      <c r="W12" s="97"/>
      <c r="X12" s="97"/>
      <c r="Y12" s="97"/>
      <c r="Z12" s="97"/>
      <c r="AA12" s="97"/>
      <c r="AB12" s="97"/>
    </row>
    <row r="13" spans="1:29" x14ac:dyDescent="0.25">
      <c r="A13" s="9" t="s">
        <v>145</v>
      </c>
      <c r="B13" s="92">
        <f t="shared" si="0"/>
        <v>8187.12</v>
      </c>
      <c r="C13" s="93">
        <v>4093.56</v>
      </c>
      <c r="D13" s="94"/>
      <c r="E13" s="94"/>
      <c r="F13" s="82"/>
      <c r="G13" s="82"/>
      <c r="H13" s="82"/>
      <c r="I13" s="82"/>
      <c r="J13" s="82"/>
      <c r="K13" s="84"/>
      <c r="L13" s="84"/>
      <c r="M13" s="84"/>
      <c r="N13" s="84"/>
      <c r="O13" s="84"/>
      <c r="P13" s="84"/>
      <c r="Q13" s="85"/>
      <c r="R13" s="85"/>
      <c r="S13" s="85"/>
      <c r="T13" s="85"/>
      <c r="U13" s="85"/>
      <c r="V13" s="85"/>
      <c r="W13" s="97"/>
      <c r="X13" s="97"/>
      <c r="Y13" s="97"/>
      <c r="Z13" s="97"/>
      <c r="AA13" s="97"/>
      <c r="AB13" s="97"/>
    </row>
    <row r="14" spans="1:29" x14ac:dyDescent="0.25">
      <c r="A14" s="9" t="s">
        <v>146</v>
      </c>
      <c r="B14" s="92">
        <f t="shared" si="0"/>
        <v>960</v>
      </c>
      <c r="C14" s="93">
        <v>480</v>
      </c>
      <c r="D14" s="94"/>
      <c r="E14" s="94"/>
      <c r="F14" s="82"/>
      <c r="G14" s="82"/>
      <c r="H14" s="82"/>
      <c r="I14" s="82"/>
      <c r="J14" s="82"/>
      <c r="K14" s="84"/>
      <c r="L14" s="84"/>
      <c r="M14" s="84"/>
      <c r="N14" s="84"/>
      <c r="O14" s="84"/>
      <c r="P14" s="84"/>
      <c r="Q14" s="85"/>
      <c r="R14" s="85"/>
      <c r="S14" s="85"/>
      <c r="T14" s="85"/>
      <c r="U14" s="85"/>
      <c r="V14" s="85"/>
      <c r="W14" s="97"/>
      <c r="X14" s="97"/>
      <c r="Y14" s="97"/>
      <c r="Z14" s="97"/>
      <c r="AA14" s="97"/>
      <c r="AB14" s="97"/>
    </row>
    <row r="15" spans="1:29" x14ac:dyDescent="0.25">
      <c r="A15" s="92" t="s">
        <v>18</v>
      </c>
      <c r="B15" s="92">
        <f t="shared" si="0"/>
        <v>255</v>
      </c>
      <c r="C15" s="93">
        <v>127.5</v>
      </c>
      <c r="D15" s="94">
        <v>2.5</v>
      </c>
      <c r="E15" s="82">
        <v>156</v>
      </c>
      <c r="F15" s="82">
        <v>36</v>
      </c>
      <c r="G15" s="82">
        <v>151</v>
      </c>
      <c r="H15" s="82">
        <v>10</v>
      </c>
      <c r="I15" s="82">
        <v>168</v>
      </c>
      <c r="J15" s="82">
        <v>40</v>
      </c>
      <c r="K15" s="96">
        <f>E15/$D15</f>
        <v>62.4</v>
      </c>
      <c r="L15" s="96">
        <f t="shared" ref="L15:P15" si="4">F15/$D15</f>
        <v>14.4</v>
      </c>
      <c r="M15" s="96">
        <f t="shared" si="4"/>
        <v>60.4</v>
      </c>
      <c r="N15" s="96">
        <f t="shared" si="4"/>
        <v>4</v>
      </c>
      <c r="O15" s="96">
        <f t="shared" si="4"/>
        <v>67.2</v>
      </c>
      <c r="P15" s="96">
        <f t="shared" si="4"/>
        <v>16</v>
      </c>
      <c r="Q15" s="85"/>
      <c r="R15" s="85"/>
      <c r="S15" s="85"/>
      <c r="T15" s="85"/>
      <c r="U15" s="85"/>
      <c r="V15" s="85"/>
      <c r="W15" s="97">
        <f>IF(K15&gt;0,K15*$X$2*$C15/1000,Q15*$Z$2*$C15/1000)</f>
        <v>31.824000000000002</v>
      </c>
      <c r="X15" s="97">
        <f>IF(L15&gt;0,L15*$X$2*$C15/1000,R15*$Z$2*$C15/1000)</f>
        <v>7.3440000000000003</v>
      </c>
      <c r="Y15" s="97">
        <f t="shared" ref="Y15:AB15" si="5">IF(M15&gt;0,M15*$X$2*$C15/1000,S15*$Z$2*$C15/1000)</f>
        <v>30.803999999999998</v>
      </c>
      <c r="Z15" s="97">
        <f t="shared" si="5"/>
        <v>2.04</v>
      </c>
      <c r="AA15" s="97">
        <f t="shared" si="5"/>
        <v>34.271999999999998</v>
      </c>
      <c r="AB15" s="97">
        <f t="shared" si="5"/>
        <v>8.16</v>
      </c>
    </row>
    <row r="16" spans="1:29" x14ac:dyDescent="0.25">
      <c r="A16" s="9" t="s">
        <v>147</v>
      </c>
      <c r="B16" s="92">
        <f t="shared" si="0"/>
        <v>7612.32</v>
      </c>
      <c r="C16" s="93">
        <v>3806.16</v>
      </c>
      <c r="D16" s="94"/>
      <c r="E16" s="94"/>
      <c r="F16" s="82"/>
      <c r="G16" s="82"/>
      <c r="H16" s="82"/>
      <c r="I16" s="82"/>
      <c r="J16" s="82"/>
      <c r="K16" s="84"/>
      <c r="L16" s="84"/>
      <c r="M16" s="84"/>
      <c r="N16" s="84"/>
      <c r="O16" s="84"/>
      <c r="P16" s="84"/>
      <c r="Q16" s="85"/>
      <c r="R16" s="85"/>
      <c r="S16" s="85"/>
      <c r="T16" s="85"/>
      <c r="U16" s="85"/>
      <c r="V16" s="85"/>
      <c r="W16" s="97"/>
      <c r="X16" s="97"/>
      <c r="Y16" s="97"/>
      <c r="Z16" s="97"/>
      <c r="AA16" s="97"/>
      <c r="AB16" s="97"/>
    </row>
    <row r="17" spans="1:29" x14ac:dyDescent="0.25">
      <c r="A17" s="9" t="s">
        <v>81</v>
      </c>
      <c r="B17" s="92">
        <f t="shared" si="0"/>
        <v>12507.28</v>
      </c>
      <c r="C17" s="93">
        <v>6253.64</v>
      </c>
      <c r="D17" s="94"/>
      <c r="E17" s="94"/>
      <c r="F17" s="82"/>
      <c r="G17" s="82"/>
      <c r="H17" s="82"/>
      <c r="I17" s="82"/>
      <c r="J17" s="82"/>
      <c r="K17" s="84"/>
      <c r="L17" s="84"/>
      <c r="M17" s="84"/>
      <c r="N17" s="84"/>
      <c r="O17" s="84"/>
      <c r="P17" s="84"/>
      <c r="Q17" s="85"/>
      <c r="R17" s="85"/>
      <c r="S17" s="85"/>
      <c r="T17" s="85"/>
      <c r="U17" s="85"/>
      <c r="V17" s="85"/>
      <c r="W17" s="97"/>
      <c r="X17" s="97"/>
      <c r="Y17" s="97"/>
      <c r="Z17" s="97"/>
      <c r="AA17" s="97"/>
      <c r="AB17" s="97"/>
    </row>
    <row r="18" spans="1:29" x14ac:dyDescent="0.25">
      <c r="A18" s="9" t="s">
        <v>148</v>
      </c>
      <c r="B18" s="92">
        <f t="shared" si="0"/>
        <v>816</v>
      </c>
      <c r="C18" s="93">
        <v>408</v>
      </c>
      <c r="D18" s="94"/>
      <c r="E18" s="94"/>
      <c r="F18" s="82"/>
      <c r="G18" s="82"/>
      <c r="H18" s="82"/>
      <c r="I18" s="82"/>
      <c r="J18" s="82"/>
      <c r="K18" s="95">
        <v>60.666666666666664</v>
      </c>
      <c r="L18" s="95">
        <v>9.3333333333333339</v>
      </c>
      <c r="M18" s="95">
        <v>40</v>
      </c>
      <c r="N18" s="84"/>
      <c r="O18" s="84"/>
      <c r="P18" s="84"/>
      <c r="Q18" s="85"/>
      <c r="R18" s="85"/>
      <c r="S18" s="85"/>
      <c r="T18" s="85"/>
      <c r="U18" s="85"/>
      <c r="V18" s="85"/>
      <c r="W18" s="95">
        <f>IF(K18&gt;0,K18*$X$2*$C18/1000,Q18*$Z$2*$C18/1000)</f>
        <v>99.007999999999996</v>
      </c>
      <c r="X18" s="95">
        <f>IF(L18&gt;0,L18*$X$2*$C18/1000,R18*$Z$2*$C18/1000)</f>
        <v>15.232000000000001</v>
      </c>
      <c r="Y18" s="95">
        <f t="shared" ref="Y18:AB19" si="6">IF(M18&gt;0,M18*$X$2*$C18/1000,S18*$Z$2*$C18/1000)</f>
        <v>65.28</v>
      </c>
      <c r="Z18" s="97"/>
      <c r="AA18" s="97"/>
      <c r="AB18" s="97"/>
      <c r="AC18" t="s">
        <v>91</v>
      </c>
    </row>
    <row r="19" spans="1:29" x14ac:dyDescent="0.25">
      <c r="A19" s="92" t="s">
        <v>73</v>
      </c>
      <c r="B19" s="92">
        <f t="shared" si="0"/>
        <v>796.8</v>
      </c>
      <c r="C19" s="93">
        <v>398.4</v>
      </c>
      <c r="D19" s="94">
        <v>1</v>
      </c>
      <c r="E19" s="82">
        <v>58.1</v>
      </c>
      <c r="F19" s="82">
        <v>19.600000000000001</v>
      </c>
      <c r="G19" s="82">
        <v>30.1</v>
      </c>
      <c r="H19" s="82">
        <v>7.9</v>
      </c>
      <c r="I19" s="82">
        <v>20.5</v>
      </c>
      <c r="J19" s="82">
        <v>13.3</v>
      </c>
      <c r="K19" s="96">
        <f>E19/$D19</f>
        <v>58.1</v>
      </c>
      <c r="L19" s="96">
        <f t="shared" ref="L19:P19" si="7">F19/$D19</f>
        <v>19.600000000000001</v>
      </c>
      <c r="M19" s="96">
        <f t="shared" si="7"/>
        <v>30.1</v>
      </c>
      <c r="N19" s="96">
        <f t="shared" si="7"/>
        <v>7.9</v>
      </c>
      <c r="O19" s="96">
        <f t="shared" si="7"/>
        <v>20.5</v>
      </c>
      <c r="P19" s="96">
        <f t="shared" si="7"/>
        <v>13.3</v>
      </c>
      <c r="Q19" s="85"/>
      <c r="R19" s="85"/>
      <c r="S19" s="85"/>
      <c r="T19" s="85"/>
      <c r="U19" s="85"/>
      <c r="V19" s="85"/>
      <c r="W19" s="97">
        <f>IF(K19&gt;0,K19*$X$2*$C19/1000,Q19*$Z$2*$C19/1000)</f>
        <v>92.588160000000002</v>
      </c>
      <c r="X19" s="97">
        <f>IF(L19&gt;0,L19*$X$2*$C19/1000,R19*$Z$2*$C19/1000)</f>
        <v>31.234560000000002</v>
      </c>
      <c r="Y19" s="97">
        <f t="shared" si="6"/>
        <v>47.967359999999999</v>
      </c>
      <c r="Z19" s="97">
        <f t="shared" si="6"/>
        <v>12.58944</v>
      </c>
      <c r="AA19" s="97">
        <f t="shared" si="6"/>
        <v>32.668799999999997</v>
      </c>
      <c r="AB19" s="97">
        <f t="shared" si="6"/>
        <v>21.194880000000001</v>
      </c>
    </row>
    <row r="20" spans="1:29" x14ac:dyDescent="0.25">
      <c r="A20" s="92" t="s">
        <v>76</v>
      </c>
      <c r="B20" s="92">
        <f t="shared" si="0"/>
        <v>9566.8799999999992</v>
      </c>
      <c r="C20" s="93">
        <v>4783.4399999999996</v>
      </c>
      <c r="D20" s="94"/>
      <c r="E20" s="94"/>
      <c r="F20" s="82"/>
      <c r="G20" s="82"/>
      <c r="H20" s="82"/>
      <c r="I20" s="82"/>
      <c r="J20" s="82"/>
      <c r="K20" s="84"/>
      <c r="L20" s="84"/>
      <c r="M20" s="84"/>
      <c r="N20" s="84"/>
      <c r="O20" s="84"/>
      <c r="P20" s="84"/>
      <c r="Q20" s="85"/>
      <c r="R20" s="85"/>
      <c r="S20" s="85"/>
      <c r="T20" s="85"/>
      <c r="U20" s="85"/>
      <c r="V20" s="85"/>
      <c r="W20" s="97"/>
      <c r="X20" s="97"/>
      <c r="Y20" s="97"/>
      <c r="Z20" s="97"/>
      <c r="AA20" s="97"/>
      <c r="AB20" s="97"/>
    </row>
    <row r="21" spans="1:29" x14ac:dyDescent="0.25">
      <c r="A21" s="92" t="s">
        <v>109</v>
      </c>
      <c r="B21" s="92">
        <f t="shared" si="0"/>
        <v>6400</v>
      </c>
      <c r="C21" s="93">
        <v>3200</v>
      </c>
      <c r="D21" s="94"/>
      <c r="E21" s="94"/>
      <c r="F21" s="82"/>
      <c r="G21" s="82"/>
      <c r="H21" s="82"/>
      <c r="I21" s="82"/>
      <c r="J21" s="82"/>
      <c r="K21" s="84"/>
      <c r="L21" s="84"/>
      <c r="M21" s="84"/>
      <c r="N21" s="84"/>
      <c r="O21" s="84"/>
      <c r="P21" s="84"/>
      <c r="Q21" s="85"/>
      <c r="R21" s="85"/>
      <c r="S21" s="85"/>
      <c r="T21" s="85"/>
      <c r="U21" s="85"/>
      <c r="V21" s="85"/>
      <c r="W21" s="97"/>
      <c r="X21" s="97"/>
      <c r="Y21" s="97"/>
      <c r="Z21" s="97"/>
      <c r="AA21" s="97"/>
      <c r="AB21" s="97"/>
    </row>
    <row r="22" spans="1:29" x14ac:dyDescent="0.25">
      <c r="A22" s="9" t="s">
        <v>149</v>
      </c>
      <c r="B22" s="92">
        <f t="shared" si="0"/>
        <v>8187.12</v>
      </c>
      <c r="C22" s="93">
        <v>4093.56</v>
      </c>
      <c r="D22" s="94"/>
      <c r="E22" s="94"/>
      <c r="F22" s="82"/>
      <c r="G22" s="82"/>
      <c r="H22" s="82"/>
      <c r="I22" s="82"/>
      <c r="J22" s="82"/>
      <c r="K22" s="84"/>
      <c r="L22" s="84"/>
      <c r="M22" s="84"/>
      <c r="N22" s="84"/>
      <c r="O22" s="84"/>
      <c r="P22" s="84"/>
      <c r="Q22" s="85"/>
      <c r="R22" s="85"/>
      <c r="S22" s="85"/>
      <c r="T22" s="85"/>
      <c r="U22" s="85"/>
      <c r="V22" s="85"/>
      <c r="W22" s="97"/>
      <c r="X22" s="97"/>
      <c r="Y22" s="97"/>
      <c r="Z22" s="97"/>
      <c r="AA22" s="97"/>
      <c r="AB22" s="97"/>
    </row>
    <row r="23" spans="1:29" x14ac:dyDescent="0.25">
      <c r="A23" s="92" t="s">
        <v>101</v>
      </c>
      <c r="B23" s="92">
        <f t="shared" si="0"/>
        <v>0</v>
      </c>
      <c r="C23" s="93">
        <v>0</v>
      </c>
      <c r="D23" s="94"/>
      <c r="E23" s="94"/>
      <c r="F23" s="82"/>
      <c r="G23" s="82"/>
      <c r="H23" s="82"/>
      <c r="I23" s="82"/>
      <c r="J23" s="82"/>
      <c r="K23" s="84"/>
      <c r="L23" s="84"/>
      <c r="M23" s="84"/>
      <c r="N23" s="84"/>
      <c r="O23" s="84"/>
      <c r="P23" s="84"/>
      <c r="Q23" s="85"/>
      <c r="R23" s="85"/>
      <c r="S23" s="85"/>
      <c r="T23" s="85"/>
      <c r="U23" s="85"/>
      <c r="V23" s="85"/>
      <c r="W23" s="97"/>
      <c r="X23" s="97"/>
      <c r="Y23" s="97"/>
      <c r="Z23" s="97"/>
      <c r="AA23" s="97"/>
      <c r="AB23" s="97"/>
    </row>
    <row r="24" spans="1:29" x14ac:dyDescent="0.25">
      <c r="A24" s="92" t="s">
        <v>150</v>
      </c>
      <c r="B24" s="92">
        <f t="shared" si="0"/>
        <v>8187.12</v>
      </c>
      <c r="C24" s="93">
        <v>4093.56</v>
      </c>
      <c r="D24" s="94"/>
      <c r="E24" s="94"/>
      <c r="F24" s="82"/>
      <c r="G24" s="82"/>
      <c r="H24" s="82"/>
      <c r="I24" s="82"/>
      <c r="J24" s="82"/>
      <c r="K24" s="84"/>
      <c r="L24" s="84"/>
      <c r="M24" s="84"/>
      <c r="N24" s="84"/>
      <c r="O24" s="84"/>
      <c r="P24" s="84"/>
      <c r="Q24" s="85"/>
      <c r="R24" s="85"/>
      <c r="S24" s="85"/>
      <c r="T24" s="85"/>
      <c r="U24" s="85"/>
      <c r="V24" s="85"/>
      <c r="W24" s="97"/>
      <c r="X24" s="97"/>
      <c r="Y24" s="97"/>
      <c r="Z24" s="97"/>
      <c r="AA24" s="97"/>
      <c r="AB24" s="97"/>
    </row>
    <row r="25" spans="1:29" x14ac:dyDescent="0.25">
      <c r="A25" s="9" t="s">
        <v>112</v>
      </c>
      <c r="B25" s="92">
        <f t="shared" si="0"/>
        <v>800</v>
      </c>
      <c r="C25" s="93">
        <v>400</v>
      </c>
      <c r="D25" s="94"/>
      <c r="E25" s="94"/>
      <c r="F25" s="82"/>
      <c r="G25" s="82"/>
      <c r="H25" s="82"/>
      <c r="I25" s="82"/>
      <c r="J25" s="82"/>
      <c r="K25" s="84"/>
      <c r="L25" s="84"/>
      <c r="M25" s="84"/>
      <c r="N25" s="84"/>
      <c r="O25" s="84"/>
      <c r="P25" s="84"/>
      <c r="Q25" s="85"/>
      <c r="R25" s="85"/>
      <c r="S25" s="85"/>
      <c r="T25" s="85"/>
      <c r="U25" s="85"/>
      <c r="V25" s="85"/>
      <c r="W25" s="97"/>
      <c r="X25" s="97"/>
      <c r="Y25" s="97"/>
      <c r="Z25" s="97"/>
      <c r="AA25" s="97"/>
      <c r="AB25" s="97"/>
    </row>
    <row r="26" spans="1:29" x14ac:dyDescent="0.25">
      <c r="A26" s="92" t="s">
        <v>151</v>
      </c>
      <c r="B26" s="92">
        <f t="shared" si="0"/>
        <v>8718.24</v>
      </c>
      <c r="C26" s="93">
        <v>4359.12</v>
      </c>
      <c r="D26" s="94"/>
      <c r="E26" s="94"/>
      <c r="F26" s="82"/>
      <c r="G26" s="82"/>
      <c r="H26" s="82"/>
      <c r="I26" s="82"/>
      <c r="J26" s="82"/>
      <c r="K26" s="84"/>
      <c r="L26" s="84"/>
      <c r="M26" s="84"/>
      <c r="N26" s="84"/>
      <c r="O26" s="84"/>
      <c r="P26" s="84"/>
      <c r="Q26" s="85"/>
      <c r="R26" s="85"/>
      <c r="S26" s="85"/>
      <c r="T26" s="85"/>
      <c r="U26" s="85"/>
      <c r="V26" s="85"/>
      <c r="W26" s="97"/>
      <c r="X26" s="97"/>
      <c r="Y26" s="97"/>
      <c r="Z26" s="97"/>
      <c r="AA26" s="97"/>
      <c r="AB26" s="97"/>
    </row>
    <row r="27" spans="1:29" x14ac:dyDescent="0.25">
      <c r="A27" s="92" t="s">
        <v>110</v>
      </c>
      <c r="B27" s="92">
        <f t="shared" si="0"/>
        <v>12785.52</v>
      </c>
      <c r="C27" s="93">
        <v>6392.76</v>
      </c>
      <c r="D27" s="94"/>
      <c r="E27" s="94"/>
      <c r="F27" s="82"/>
      <c r="G27" s="82"/>
      <c r="H27" s="82"/>
      <c r="I27" s="82"/>
      <c r="J27" s="82"/>
      <c r="K27" s="84"/>
      <c r="L27" s="84"/>
      <c r="M27" s="84"/>
      <c r="N27" s="84"/>
      <c r="O27" s="84"/>
      <c r="P27" s="84"/>
      <c r="Q27" s="85"/>
      <c r="R27" s="85"/>
      <c r="S27" s="85"/>
      <c r="T27" s="85"/>
      <c r="U27" s="85"/>
      <c r="V27" s="85"/>
      <c r="W27" s="97"/>
      <c r="X27" s="97"/>
      <c r="Y27" s="97"/>
      <c r="Z27" s="97"/>
      <c r="AA27" s="97"/>
      <c r="AB27" s="97"/>
    </row>
    <row r="28" spans="1:29" x14ac:dyDescent="0.25">
      <c r="A28" s="9" t="s">
        <v>71</v>
      </c>
      <c r="B28" s="92">
        <f t="shared" si="0"/>
        <v>2400</v>
      </c>
      <c r="C28" s="93">
        <v>1200</v>
      </c>
      <c r="D28" s="82">
        <v>1</v>
      </c>
      <c r="E28" s="82">
        <v>20</v>
      </c>
      <c r="F28" s="82">
        <v>11</v>
      </c>
      <c r="G28" s="82">
        <v>30</v>
      </c>
      <c r="H28" s="82">
        <v>3</v>
      </c>
      <c r="I28" s="82">
        <v>7</v>
      </c>
      <c r="J28" s="82"/>
      <c r="K28" s="96">
        <f>E28/$D28</f>
        <v>20</v>
      </c>
      <c r="L28" s="96">
        <f t="shared" ref="L28:P28" si="8">F28/$D28</f>
        <v>11</v>
      </c>
      <c r="M28" s="96">
        <f t="shared" si="8"/>
        <v>30</v>
      </c>
      <c r="N28" s="96">
        <f t="shared" si="8"/>
        <v>3</v>
      </c>
      <c r="O28" s="96">
        <f t="shared" si="8"/>
        <v>7</v>
      </c>
      <c r="P28" s="96">
        <f t="shared" si="8"/>
        <v>0</v>
      </c>
      <c r="Q28" s="85"/>
      <c r="R28" s="85"/>
      <c r="S28" s="85"/>
      <c r="T28" s="85"/>
      <c r="U28" s="85"/>
      <c r="V28" s="85"/>
      <c r="W28" s="97">
        <f>IF(K28&gt;0,K28*$X$2*$C28/1000,Q28*$Z$2*$C28/1000)</f>
        <v>96</v>
      </c>
      <c r="X28" s="97">
        <f>IF(L28&gt;0,L28*$X$2*$C28/1000,R28*$Z$2*$C28/1000)</f>
        <v>52.8</v>
      </c>
      <c r="Y28" s="97">
        <f t="shared" ref="Y28:AB28" si="9">IF(M28&gt;0,M28*$X$2*$C28/1000,S28*$Z$2*$C28/1000)</f>
        <v>144</v>
      </c>
      <c r="Z28" s="97">
        <f t="shared" si="9"/>
        <v>14.4</v>
      </c>
      <c r="AA28" s="97">
        <f t="shared" si="9"/>
        <v>33.6</v>
      </c>
      <c r="AB28" s="97">
        <f t="shared" si="9"/>
        <v>0</v>
      </c>
    </row>
    <row r="29" spans="1:29" x14ac:dyDescent="0.25">
      <c r="A29" s="9" t="s">
        <v>113</v>
      </c>
      <c r="B29" s="92">
        <f t="shared" si="0"/>
        <v>6400</v>
      </c>
      <c r="C29" s="93">
        <v>3200</v>
      </c>
      <c r="D29" s="94"/>
      <c r="E29" s="94"/>
      <c r="F29" s="82"/>
      <c r="G29" s="82"/>
      <c r="H29" s="82"/>
      <c r="I29" s="82"/>
      <c r="J29" s="82"/>
      <c r="K29" s="84"/>
      <c r="L29" s="84"/>
      <c r="M29" s="84"/>
      <c r="N29" s="84"/>
      <c r="O29" s="84"/>
      <c r="P29" s="84"/>
      <c r="Q29" s="85"/>
      <c r="R29" s="85"/>
      <c r="S29" s="85"/>
      <c r="T29" s="85"/>
      <c r="U29" s="85"/>
      <c r="V29" s="85"/>
      <c r="W29" s="97"/>
      <c r="X29" s="97"/>
      <c r="Y29" s="97"/>
      <c r="Z29" s="97"/>
      <c r="AA29" s="97"/>
      <c r="AB29" s="97"/>
    </row>
    <row r="30" spans="1:29" x14ac:dyDescent="0.25">
      <c r="A30" s="92" t="s">
        <v>152</v>
      </c>
      <c r="B30" s="92">
        <f t="shared" si="0"/>
        <v>7612.32</v>
      </c>
      <c r="C30" s="93">
        <v>3806.16</v>
      </c>
      <c r="D30" s="94"/>
      <c r="E30" s="94"/>
      <c r="F30" s="82"/>
      <c r="G30" s="82"/>
      <c r="H30" s="82"/>
      <c r="I30" s="82"/>
      <c r="J30" s="82"/>
      <c r="K30" s="84"/>
      <c r="L30" s="84"/>
      <c r="M30" s="84"/>
      <c r="N30" s="84"/>
      <c r="O30" s="84"/>
      <c r="P30" s="84"/>
      <c r="Q30" s="85"/>
      <c r="R30" s="85"/>
      <c r="S30" s="85"/>
      <c r="T30" s="85"/>
      <c r="U30" s="85"/>
      <c r="V30" s="85"/>
      <c r="W30" s="97"/>
      <c r="X30" s="97"/>
      <c r="Y30" s="97"/>
      <c r="Z30" s="97"/>
      <c r="AA30" s="97"/>
      <c r="AB30" s="97"/>
    </row>
    <row r="31" spans="1:29" x14ac:dyDescent="0.25">
      <c r="A31" s="92" t="s">
        <v>153</v>
      </c>
      <c r="B31" s="92">
        <f t="shared" si="0"/>
        <v>18210.48</v>
      </c>
      <c r="C31" s="93">
        <v>9105.24</v>
      </c>
      <c r="D31" s="94">
        <v>36</v>
      </c>
      <c r="E31" s="82">
        <v>135</v>
      </c>
      <c r="F31" s="82">
        <v>21</v>
      </c>
      <c r="G31" s="82">
        <v>157</v>
      </c>
      <c r="H31" s="82"/>
      <c r="I31" s="82"/>
      <c r="J31" s="82"/>
      <c r="K31" s="96">
        <f>E31/$D31</f>
        <v>3.75</v>
      </c>
      <c r="L31" s="96">
        <f t="shared" ref="L31:P31" si="10">F31/$D31</f>
        <v>0.58333333333333337</v>
      </c>
      <c r="M31" s="96">
        <f t="shared" si="10"/>
        <v>4.3611111111111107</v>
      </c>
      <c r="N31" s="96">
        <f t="shared" si="10"/>
        <v>0</v>
      </c>
      <c r="O31" s="96">
        <f t="shared" si="10"/>
        <v>0</v>
      </c>
      <c r="P31" s="96">
        <f t="shared" si="10"/>
        <v>0</v>
      </c>
      <c r="Q31" s="85"/>
      <c r="R31" s="85"/>
      <c r="S31" s="85"/>
      <c r="T31" s="85"/>
      <c r="U31" s="85"/>
      <c r="V31" s="85"/>
      <c r="W31" s="97">
        <f>IF(K31&gt;0,K31*$X$2*$C31/1000,Q31*$Z$2*$C31/1000)</f>
        <v>136.57859999999999</v>
      </c>
      <c r="X31" s="97">
        <f>IF(L31&gt;0,L31*$X$2*$C31/1000,R31*$Z$2*$C31/1000)</f>
        <v>21.245560000000001</v>
      </c>
      <c r="Y31" s="97">
        <f t="shared" ref="Y31:AB31" si="11">IF(M31&gt;0,M31*$X$2*$C31/1000,S31*$Z$2*$C31/1000)</f>
        <v>158.83585333333329</v>
      </c>
      <c r="Z31" s="97">
        <f t="shared" si="11"/>
        <v>0</v>
      </c>
      <c r="AA31" s="97">
        <f t="shared" si="11"/>
        <v>0</v>
      </c>
      <c r="AB31" s="97">
        <f t="shared" si="11"/>
        <v>0</v>
      </c>
    </row>
    <row r="32" spans="1:29" x14ac:dyDescent="0.25">
      <c r="A32" s="92" t="s">
        <v>80</v>
      </c>
      <c r="B32" s="92">
        <f t="shared" si="0"/>
        <v>18650</v>
      </c>
      <c r="C32" s="93">
        <v>9325</v>
      </c>
      <c r="D32" s="82"/>
      <c r="E32" s="82"/>
      <c r="F32" s="82"/>
      <c r="G32" s="82"/>
      <c r="H32" s="82"/>
      <c r="I32" s="82"/>
      <c r="J32" s="82"/>
      <c r="K32" s="84"/>
      <c r="L32" s="84"/>
      <c r="M32" s="84"/>
      <c r="N32" s="84"/>
      <c r="O32" s="84"/>
      <c r="P32" s="84"/>
      <c r="Q32" s="85"/>
      <c r="R32" s="85"/>
      <c r="S32" s="85"/>
      <c r="T32" s="85"/>
      <c r="U32" s="85"/>
      <c r="V32" s="85"/>
      <c r="W32" s="97"/>
      <c r="X32" s="97"/>
      <c r="Y32" s="97"/>
      <c r="Z32" s="97"/>
      <c r="AA32" s="97"/>
      <c r="AB32" s="97"/>
    </row>
    <row r="33" spans="1:29" x14ac:dyDescent="0.25">
      <c r="A33" s="92" t="s">
        <v>154</v>
      </c>
      <c r="B33" s="92">
        <f t="shared" si="0"/>
        <v>11345.92</v>
      </c>
      <c r="C33" s="93">
        <v>5672.96</v>
      </c>
      <c r="D33" s="82"/>
      <c r="E33" s="82"/>
      <c r="F33" s="82"/>
      <c r="G33" s="82"/>
      <c r="H33" s="82"/>
      <c r="I33" s="82"/>
      <c r="J33" s="82"/>
      <c r="K33" s="84"/>
      <c r="L33" s="84"/>
      <c r="M33" s="84"/>
      <c r="N33" s="84"/>
      <c r="O33" s="84"/>
      <c r="P33" s="84"/>
      <c r="Q33" s="85"/>
      <c r="R33" s="85"/>
      <c r="S33" s="85"/>
      <c r="T33" s="85"/>
      <c r="U33" s="85"/>
      <c r="V33" s="85"/>
      <c r="W33" s="97"/>
      <c r="X33" s="97"/>
      <c r="Y33" s="97"/>
      <c r="Z33" s="97"/>
      <c r="AA33" s="97"/>
      <c r="AB33" s="97"/>
    </row>
    <row r="34" spans="1:29" x14ac:dyDescent="0.25">
      <c r="A34" s="9" t="s">
        <v>155</v>
      </c>
      <c r="B34" s="9">
        <f t="shared" si="0"/>
        <v>1142.4000000000001</v>
      </c>
      <c r="C34" s="93">
        <v>571.20000000000005</v>
      </c>
      <c r="D34" s="82"/>
      <c r="E34" s="82"/>
      <c r="F34" s="82"/>
      <c r="G34" s="82"/>
      <c r="H34" s="82"/>
      <c r="I34" s="82"/>
      <c r="J34" s="82"/>
      <c r="K34" s="98">
        <v>20</v>
      </c>
      <c r="L34" s="98">
        <v>11</v>
      </c>
      <c r="M34" s="98">
        <v>30</v>
      </c>
      <c r="N34" s="84"/>
      <c r="O34" s="84"/>
      <c r="P34" s="84"/>
      <c r="Q34" s="85"/>
      <c r="R34" s="85"/>
      <c r="S34" s="85"/>
      <c r="T34" s="85"/>
      <c r="U34" s="85"/>
      <c r="V34" s="85"/>
      <c r="W34" s="95">
        <f>IF(K34&gt;0,K34*$X$2*$C34/1000,Q34*$Z$2*$C34/1000)</f>
        <v>45.695999999999998</v>
      </c>
      <c r="X34" s="95">
        <f>IF(L34&gt;0,L34*$X$2*$C34/1000,R34*$Z$2*$C34/1000)</f>
        <v>25.132800000000003</v>
      </c>
      <c r="Y34" s="95">
        <f t="shared" ref="Y34" si="12">IF(M34&gt;0,M34*$X$2*$C34/1000,S34*$Z$2*$C34/1000)</f>
        <v>68.543999999999997</v>
      </c>
      <c r="Z34" s="97"/>
      <c r="AA34" s="97"/>
      <c r="AB34" s="97"/>
      <c r="AC34" t="s">
        <v>71</v>
      </c>
    </row>
    <row r="35" spans="1:29" x14ac:dyDescent="0.25">
      <c r="A35" s="92" t="s">
        <v>156</v>
      </c>
      <c r="B35" s="92">
        <f t="shared" si="0"/>
        <v>280</v>
      </c>
      <c r="C35" s="93">
        <v>140</v>
      </c>
      <c r="D35" s="82"/>
      <c r="E35" s="82"/>
      <c r="F35" s="82"/>
      <c r="G35" s="82"/>
      <c r="H35" s="82"/>
      <c r="I35" s="82"/>
      <c r="J35" s="82"/>
      <c r="K35" s="84"/>
      <c r="L35" s="84"/>
      <c r="M35" s="84"/>
      <c r="N35" s="84"/>
      <c r="O35" s="84"/>
      <c r="P35" s="84"/>
      <c r="Q35" s="85"/>
      <c r="R35" s="85"/>
      <c r="S35" s="85"/>
      <c r="T35" s="85"/>
      <c r="U35" s="85"/>
      <c r="V35" s="85"/>
      <c r="W35" s="97"/>
      <c r="X35" s="97"/>
      <c r="Y35" s="97"/>
      <c r="Z35" s="97"/>
      <c r="AA35" s="97"/>
      <c r="AB35" s="97"/>
    </row>
    <row r="36" spans="1:29" x14ac:dyDescent="0.25">
      <c r="A36" s="92" t="s">
        <v>157</v>
      </c>
      <c r="B36" s="92">
        <f t="shared" si="0"/>
        <v>18352.72</v>
      </c>
      <c r="C36" s="93">
        <v>9176.36</v>
      </c>
      <c r="D36" s="82"/>
      <c r="E36" s="82"/>
      <c r="F36" s="82"/>
      <c r="G36" s="82"/>
      <c r="H36" s="82"/>
      <c r="I36" s="82"/>
      <c r="J36" s="82"/>
      <c r="K36" s="84"/>
      <c r="L36" s="84"/>
      <c r="M36" s="84"/>
      <c r="N36" s="84"/>
      <c r="O36" s="84"/>
      <c r="P36" s="84"/>
      <c r="Q36" s="85"/>
      <c r="R36" s="85"/>
      <c r="S36" s="85"/>
      <c r="T36" s="85"/>
      <c r="U36" s="85"/>
      <c r="V36" s="85"/>
      <c r="W36" s="97"/>
      <c r="X36" s="97"/>
      <c r="Y36" s="97"/>
      <c r="Z36" s="97"/>
      <c r="AA36" s="97"/>
      <c r="AB36" s="97"/>
    </row>
    <row r="37" spans="1:29" x14ac:dyDescent="0.25">
      <c r="A37" s="92" t="s">
        <v>79</v>
      </c>
      <c r="B37" s="92">
        <f t="shared" si="0"/>
        <v>6000</v>
      </c>
      <c r="C37" s="93">
        <v>3000</v>
      </c>
      <c r="D37" s="82"/>
      <c r="E37" s="82"/>
      <c r="F37" s="82"/>
      <c r="G37" s="82"/>
      <c r="H37" s="82"/>
      <c r="I37" s="82"/>
      <c r="J37" s="82"/>
      <c r="K37" s="84"/>
      <c r="L37" s="84"/>
      <c r="M37" s="84"/>
      <c r="N37" s="84"/>
      <c r="O37" s="84"/>
      <c r="P37" s="84"/>
      <c r="Q37" s="85"/>
      <c r="R37" s="85"/>
      <c r="S37" s="85"/>
      <c r="T37" s="85"/>
      <c r="U37" s="85"/>
      <c r="V37" s="85"/>
      <c r="W37" s="97"/>
      <c r="X37" s="97"/>
      <c r="Y37" s="97"/>
      <c r="Z37" s="97"/>
      <c r="AA37" s="97"/>
      <c r="AB37" s="97"/>
    </row>
    <row r="38" spans="1:29" x14ac:dyDescent="0.25">
      <c r="A38" s="9" t="s">
        <v>158</v>
      </c>
      <c r="B38" s="9">
        <f t="shared" si="0"/>
        <v>456.8</v>
      </c>
      <c r="C38" s="93">
        <v>228.4</v>
      </c>
      <c r="D38" s="82"/>
      <c r="E38" s="82"/>
      <c r="F38" s="82"/>
      <c r="G38" s="82"/>
      <c r="H38" s="82"/>
      <c r="I38" s="82"/>
      <c r="J38" s="82"/>
      <c r="K38" s="98">
        <v>20</v>
      </c>
      <c r="L38" s="98">
        <v>11</v>
      </c>
      <c r="M38" s="98">
        <v>30</v>
      </c>
      <c r="N38" s="84"/>
      <c r="O38" s="84"/>
      <c r="P38" s="84"/>
      <c r="Q38" s="85"/>
      <c r="R38" s="85"/>
      <c r="S38" s="85"/>
      <c r="T38" s="85"/>
      <c r="U38" s="85"/>
      <c r="V38" s="85"/>
      <c r="W38" s="95">
        <f>IF(K38&gt;0,K38*$X$2*$C38/1000,Q38*$Z$2*$C38/1000)</f>
        <v>18.271999999999998</v>
      </c>
      <c r="X38" s="95">
        <f>IF(L38&gt;0,L38*$X$2*$C38/1000,R38*$Z$2*$C38/1000)</f>
        <v>10.0496</v>
      </c>
      <c r="Y38" s="95">
        <f t="shared" ref="Y38" si="13">IF(M38&gt;0,M38*$X$2*$C38/1000,S38*$Z$2*$C38/1000)</f>
        <v>27.408000000000001</v>
      </c>
      <c r="Z38" s="97"/>
      <c r="AA38" s="97"/>
      <c r="AB38" s="97"/>
      <c r="AC38" t="s">
        <v>71</v>
      </c>
    </row>
    <row r="39" spans="1:29" x14ac:dyDescent="0.25">
      <c r="A39" s="92" t="s">
        <v>159</v>
      </c>
      <c r="B39" s="92">
        <f t="shared" si="0"/>
        <v>273.52</v>
      </c>
      <c r="C39" s="93">
        <v>136.76</v>
      </c>
      <c r="D39" s="82"/>
      <c r="E39" s="82"/>
      <c r="F39" s="82"/>
      <c r="G39" s="82"/>
      <c r="H39" s="82"/>
      <c r="I39" s="82"/>
      <c r="J39" s="82"/>
      <c r="K39" s="84"/>
      <c r="L39" s="84"/>
      <c r="M39" s="84"/>
      <c r="N39" s="84"/>
      <c r="O39" s="84"/>
      <c r="P39" s="84"/>
      <c r="Q39" s="85"/>
      <c r="R39" s="85"/>
      <c r="S39" s="85"/>
      <c r="T39" s="85"/>
      <c r="U39" s="85"/>
      <c r="V39" s="85"/>
      <c r="W39" s="97"/>
      <c r="X39" s="97"/>
      <c r="Y39" s="97"/>
      <c r="Z39" s="97"/>
      <c r="AA39" s="97"/>
      <c r="AB39" s="97"/>
    </row>
    <row r="40" spans="1:29" x14ac:dyDescent="0.25">
      <c r="A40" s="92" t="s">
        <v>108</v>
      </c>
      <c r="B40" s="92">
        <f t="shared" si="0"/>
        <v>4220.72</v>
      </c>
      <c r="C40" s="93">
        <v>2110.36</v>
      </c>
      <c r="D40" s="82"/>
      <c r="E40" s="82"/>
      <c r="F40" s="82"/>
      <c r="G40" s="82"/>
      <c r="H40" s="82"/>
      <c r="I40" s="82"/>
      <c r="J40" s="82"/>
      <c r="K40" s="84"/>
      <c r="L40" s="84"/>
      <c r="M40" s="84"/>
      <c r="N40" s="84"/>
      <c r="O40" s="84"/>
      <c r="P40" s="84"/>
      <c r="Q40" s="85"/>
      <c r="R40" s="85"/>
      <c r="S40" s="85"/>
      <c r="T40" s="85"/>
      <c r="U40" s="85"/>
      <c r="V40" s="85"/>
      <c r="W40" s="97"/>
      <c r="X40" s="97"/>
      <c r="Y40" s="97"/>
      <c r="Z40" s="97"/>
      <c r="AA40" s="97"/>
      <c r="AB40" s="97"/>
    </row>
    <row r="41" spans="1:29" x14ac:dyDescent="0.25">
      <c r="A41" s="92" t="s">
        <v>160</v>
      </c>
      <c r="B41" s="92">
        <f t="shared" si="0"/>
        <v>689.6</v>
      </c>
      <c r="C41" s="93">
        <v>344.8</v>
      </c>
      <c r="D41" s="98"/>
      <c r="E41" s="98"/>
      <c r="F41" s="98"/>
      <c r="G41" s="98"/>
      <c r="H41" s="98"/>
      <c r="I41" s="98"/>
      <c r="J41" s="98"/>
      <c r="K41" s="95">
        <v>20</v>
      </c>
      <c r="L41" s="95">
        <v>11</v>
      </c>
      <c r="M41" s="95">
        <v>30</v>
      </c>
      <c r="N41" s="95"/>
      <c r="O41" s="95"/>
      <c r="P41" s="95"/>
      <c r="Q41" s="85"/>
      <c r="R41" s="85"/>
      <c r="S41" s="85"/>
      <c r="T41" s="85"/>
      <c r="U41" s="85"/>
      <c r="V41" s="85"/>
      <c r="W41" s="95">
        <f t="shared" ref="W41:AB44" si="14">IF(K41&gt;0,K41*$X$2*$C41/1000,Q41*$Z$2*$C41/1000)</f>
        <v>27.584</v>
      </c>
      <c r="X41" s="95">
        <f t="shared" si="14"/>
        <v>15.171200000000001</v>
      </c>
      <c r="Y41" s="95">
        <f t="shared" si="14"/>
        <v>41.375999999999998</v>
      </c>
      <c r="Z41" s="95">
        <f t="shared" si="14"/>
        <v>0</v>
      </c>
      <c r="AA41" s="95">
        <f t="shared" si="14"/>
        <v>0</v>
      </c>
      <c r="AB41" s="95">
        <f t="shared" si="14"/>
        <v>0</v>
      </c>
      <c r="AC41" t="s">
        <v>71</v>
      </c>
    </row>
    <row r="42" spans="1:29" x14ac:dyDescent="0.25">
      <c r="A42" s="92" t="s">
        <v>69</v>
      </c>
      <c r="B42" s="92">
        <f t="shared" si="0"/>
        <v>1048.8</v>
      </c>
      <c r="C42" s="93">
        <v>524.4</v>
      </c>
      <c r="D42" s="82">
        <v>1</v>
      </c>
      <c r="E42" s="82">
        <v>146</v>
      </c>
      <c r="F42" s="82">
        <v>25</v>
      </c>
      <c r="G42" s="82">
        <v>53</v>
      </c>
      <c r="H42" s="82">
        <v>5</v>
      </c>
      <c r="I42" s="82">
        <v>28</v>
      </c>
      <c r="J42" s="82">
        <v>22</v>
      </c>
      <c r="K42" s="96">
        <f>E42/$D42</f>
        <v>146</v>
      </c>
      <c r="L42" s="96">
        <f t="shared" ref="L42:P44" si="15">F42/$D42</f>
        <v>25</v>
      </c>
      <c r="M42" s="96">
        <f t="shared" si="15"/>
        <v>53</v>
      </c>
      <c r="N42" s="96">
        <f t="shared" si="15"/>
        <v>5</v>
      </c>
      <c r="O42" s="96">
        <f t="shared" si="15"/>
        <v>28</v>
      </c>
      <c r="P42" s="96">
        <f t="shared" si="15"/>
        <v>22</v>
      </c>
      <c r="Q42" s="85"/>
      <c r="R42" s="85"/>
      <c r="S42" s="85"/>
      <c r="T42" s="85"/>
      <c r="U42" s="85"/>
      <c r="V42" s="85"/>
      <c r="W42" s="97">
        <f t="shared" si="14"/>
        <v>306.24959999999999</v>
      </c>
      <c r="X42" s="97">
        <f t="shared" si="14"/>
        <v>52.44</v>
      </c>
      <c r="Y42" s="97">
        <f t="shared" si="14"/>
        <v>111.1728</v>
      </c>
      <c r="Z42" s="97">
        <f t="shared" si="14"/>
        <v>10.488</v>
      </c>
      <c r="AA42" s="97">
        <f t="shared" si="14"/>
        <v>58.732799999999997</v>
      </c>
      <c r="AB42" s="97">
        <f t="shared" si="14"/>
        <v>46.147199999999998</v>
      </c>
    </row>
    <row r="43" spans="1:29" x14ac:dyDescent="0.25">
      <c r="A43" s="9" t="s">
        <v>97</v>
      </c>
      <c r="B43" s="92">
        <f t="shared" si="0"/>
        <v>53590.400000000001</v>
      </c>
      <c r="C43" s="93">
        <v>26795.200000000001</v>
      </c>
      <c r="D43" s="82">
        <v>10</v>
      </c>
      <c r="E43" s="82">
        <v>130</v>
      </c>
      <c r="F43" s="82">
        <v>50</v>
      </c>
      <c r="G43" s="82">
        <v>175</v>
      </c>
      <c r="H43" s="82"/>
      <c r="I43" s="82"/>
      <c r="J43" s="82"/>
      <c r="K43" s="96">
        <f>E43/$D43</f>
        <v>13</v>
      </c>
      <c r="L43" s="96">
        <f t="shared" si="15"/>
        <v>5</v>
      </c>
      <c r="M43" s="96">
        <f t="shared" si="15"/>
        <v>17.5</v>
      </c>
      <c r="N43" s="96">
        <f t="shared" si="15"/>
        <v>0</v>
      </c>
      <c r="O43" s="96">
        <f t="shared" si="15"/>
        <v>0</v>
      </c>
      <c r="P43" s="96">
        <f t="shared" si="15"/>
        <v>0</v>
      </c>
      <c r="Q43" s="99"/>
      <c r="R43" s="99"/>
      <c r="S43" s="99"/>
      <c r="T43" s="99"/>
      <c r="U43" s="99"/>
      <c r="V43" s="99"/>
      <c r="W43" s="97">
        <f t="shared" si="14"/>
        <v>1393.3504</v>
      </c>
      <c r="X43" s="97">
        <f t="shared" si="14"/>
        <v>535.904</v>
      </c>
      <c r="Y43" s="97">
        <f t="shared" si="14"/>
        <v>1875.664</v>
      </c>
      <c r="Z43" s="97">
        <f t="shared" si="14"/>
        <v>0</v>
      </c>
      <c r="AA43" s="97">
        <f t="shared" si="14"/>
        <v>0</v>
      </c>
      <c r="AB43" s="97">
        <f t="shared" si="14"/>
        <v>0</v>
      </c>
    </row>
    <row r="44" spans="1:29" x14ac:dyDescent="0.25">
      <c r="A44" s="92" t="s">
        <v>161</v>
      </c>
      <c r="B44" s="92">
        <f t="shared" si="0"/>
        <v>8085.68</v>
      </c>
      <c r="C44" s="93">
        <v>4042.84</v>
      </c>
      <c r="D44" s="82">
        <v>14</v>
      </c>
      <c r="E44" s="82">
        <v>51.6</v>
      </c>
      <c r="F44" s="82">
        <v>17.2</v>
      </c>
      <c r="G44" s="82">
        <v>71</v>
      </c>
      <c r="H44" s="82"/>
      <c r="I44" s="82">
        <v>6.3</v>
      </c>
      <c r="J44" s="82">
        <v>6.1</v>
      </c>
      <c r="K44" s="96">
        <f>E44/$D44</f>
        <v>3.6857142857142859</v>
      </c>
      <c r="L44" s="96">
        <f t="shared" si="15"/>
        <v>1.2285714285714284</v>
      </c>
      <c r="M44" s="96">
        <f t="shared" si="15"/>
        <v>5.0714285714285712</v>
      </c>
      <c r="N44" s="96">
        <f t="shared" si="15"/>
        <v>0</v>
      </c>
      <c r="O44" s="96">
        <f t="shared" si="15"/>
        <v>0.45</v>
      </c>
      <c r="P44" s="96">
        <f t="shared" si="15"/>
        <v>0.43571428571428567</v>
      </c>
      <c r="Q44" s="85"/>
      <c r="R44" s="85"/>
      <c r="S44" s="85"/>
      <c r="T44" s="85"/>
      <c r="U44" s="85"/>
      <c r="V44" s="85"/>
      <c r="W44" s="97">
        <f t="shared" si="14"/>
        <v>59.603012571428572</v>
      </c>
      <c r="X44" s="97">
        <f t="shared" si="14"/>
        <v>19.867670857142858</v>
      </c>
      <c r="Y44" s="97">
        <f t="shared" si="14"/>
        <v>82.011897142857137</v>
      </c>
      <c r="Z44" s="97">
        <f t="shared" si="14"/>
        <v>0</v>
      </c>
      <c r="AA44" s="97">
        <f t="shared" si="14"/>
        <v>7.2771119999999998</v>
      </c>
      <c r="AB44" s="97">
        <f t="shared" si="14"/>
        <v>7.0460925714285709</v>
      </c>
    </row>
    <row r="45" spans="1:29" x14ac:dyDescent="0.25">
      <c r="A45" s="9" t="s">
        <v>162</v>
      </c>
      <c r="B45" s="9">
        <f t="shared" si="0"/>
        <v>27969.119999999999</v>
      </c>
      <c r="C45" s="93">
        <v>13984.56</v>
      </c>
      <c r="D45" s="82"/>
      <c r="E45" s="82"/>
      <c r="F45" s="82"/>
      <c r="G45" s="82"/>
      <c r="H45" s="82"/>
      <c r="I45" s="82"/>
      <c r="J45" s="82"/>
      <c r="K45" s="96"/>
      <c r="L45" s="96"/>
      <c r="M45" s="96"/>
      <c r="N45" s="96"/>
      <c r="O45" s="96"/>
      <c r="P45" s="96"/>
      <c r="Q45" s="85"/>
      <c r="R45" s="85"/>
      <c r="S45" s="85"/>
      <c r="T45" s="85"/>
      <c r="U45" s="85"/>
      <c r="V45" s="85"/>
      <c r="W45" s="97"/>
      <c r="X45" s="97"/>
      <c r="Y45" s="97"/>
      <c r="Z45" s="97"/>
      <c r="AA45" s="97"/>
      <c r="AB45" s="97"/>
    </row>
    <row r="46" spans="1:29" x14ac:dyDescent="0.25">
      <c r="A46" s="92" t="s">
        <v>75</v>
      </c>
      <c r="B46" s="92">
        <f t="shared" si="0"/>
        <v>16570</v>
      </c>
      <c r="C46" s="93">
        <v>8285</v>
      </c>
      <c r="D46" s="82"/>
      <c r="E46" s="82"/>
      <c r="F46" s="82"/>
      <c r="G46" s="82"/>
      <c r="H46" s="82"/>
      <c r="I46" s="82"/>
      <c r="J46" s="82"/>
      <c r="K46" s="84"/>
      <c r="L46" s="84"/>
      <c r="M46" s="84"/>
      <c r="N46" s="84"/>
      <c r="O46" s="84"/>
      <c r="P46" s="84"/>
      <c r="Q46" s="85"/>
      <c r="R46" s="85"/>
      <c r="S46" s="85"/>
      <c r="T46" s="85"/>
      <c r="U46" s="85"/>
      <c r="V46" s="85"/>
      <c r="W46" s="97"/>
      <c r="X46" s="97"/>
      <c r="Y46" s="97"/>
      <c r="Z46" s="97"/>
      <c r="AA46" s="97"/>
      <c r="AB46" s="97"/>
    </row>
    <row r="47" spans="1:29" x14ac:dyDescent="0.25">
      <c r="A47" s="92" t="s">
        <v>37</v>
      </c>
      <c r="B47" s="92">
        <f t="shared" si="0"/>
        <v>644.79999999999995</v>
      </c>
      <c r="C47" s="93">
        <v>322.39999999999998</v>
      </c>
      <c r="D47" s="82">
        <v>1.2</v>
      </c>
      <c r="E47" s="82">
        <v>85</v>
      </c>
      <c r="F47" s="82">
        <v>18</v>
      </c>
      <c r="G47" s="82">
        <v>75</v>
      </c>
      <c r="H47" s="82">
        <v>9</v>
      </c>
      <c r="I47" s="82">
        <v>32</v>
      </c>
      <c r="J47" s="82">
        <v>25</v>
      </c>
      <c r="K47" s="96">
        <f>E47/$D47</f>
        <v>70.833333333333343</v>
      </c>
      <c r="L47" s="96">
        <f t="shared" ref="L47:P47" si="16">F47/$D47</f>
        <v>15</v>
      </c>
      <c r="M47" s="96">
        <f t="shared" si="16"/>
        <v>62.5</v>
      </c>
      <c r="N47" s="96">
        <f t="shared" si="16"/>
        <v>7.5</v>
      </c>
      <c r="O47" s="96">
        <f t="shared" si="16"/>
        <v>26.666666666666668</v>
      </c>
      <c r="P47" s="96">
        <f t="shared" si="16"/>
        <v>20.833333333333336</v>
      </c>
      <c r="Q47" s="85"/>
      <c r="R47" s="85"/>
      <c r="S47" s="85"/>
      <c r="T47" s="85"/>
      <c r="U47" s="85"/>
      <c r="V47" s="85"/>
      <c r="W47" s="97">
        <f>IF(K47&gt;0,K47*$X$2*$C47/1000,Q47*$Z$2*$C47/1000)</f>
        <v>91.346666666666678</v>
      </c>
      <c r="X47" s="97">
        <f>IF(L47&gt;0,L47*$X$2*$C47/1000,R47*$Z$2*$C47/1000)</f>
        <v>19.344000000000001</v>
      </c>
      <c r="Y47" s="97">
        <f t="shared" ref="Y47:AB48" si="17">IF(M47&gt;0,M47*$X$2*$C47/1000,S47*$Z$2*$C47/1000)</f>
        <v>80.599999999999994</v>
      </c>
      <c r="Z47" s="97">
        <f t="shared" si="17"/>
        <v>9.6720000000000006</v>
      </c>
      <c r="AA47" s="97">
        <f t="shared" si="17"/>
        <v>34.389333333333333</v>
      </c>
      <c r="AB47" s="97">
        <f t="shared" si="17"/>
        <v>26.866666666666667</v>
      </c>
    </row>
    <row r="48" spans="1:29" x14ac:dyDescent="0.25">
      <c r="A48" s="92" t="s">
        <v>1</v>
      </c>
      <c r="B48" s="92">
        <f t="shared" si="0"/>
        <v>800.83199999999999</v>
      </c>
      <c r="C48" s="93">
        <v>400.416</v>
      </c>
      <c r="D48" s="82"/>
      <c r="E48" s="82"/>
      <c r="F48" s="82"/>
      <c r="G48" s="82"/>
      <c r="H48" s="82"/>
      <c r="I48" s="82"/>
      <c r="J48" s="82"/>
      <c r="K48" s="95">
        <f>Q48/2</f>
        <v>22.099447513812155</v>
      </c>
      <c r="L48" s="95">
        <f t="shared" ref="L48:P48" si="18">R48/2</f>
        <v>20.224851812510771</v>
      </c>
      <c r="M48" s="95">
        <f t="shared" si="18"/>
        <v>19.841269841269842</v>
      </c>
      <c r="N48" s="98">
        <f t="shared" si="18"/>
        <v>0</v>
      </c>
      <c r="O48" s="98">
        <f t="shared" si="18"/>
        <v>0</v>
      </c>
      <c r="P48" s="98">
        <f t="shared" si="18"/>
        <v>0</v>
      </c>
      <c r="Q48" s="99">
        <v>44.19889502762431</v>
      </c>
      <c r="R48" s="99">
        <v>40.449703625021542</v>
      </c>
      <c r="S48" s="99">
        <v>39.682539682539684</v>
      </c>
      <c r="T48" s="85"/>
      <c r="U48" s="85"/>
      <c r="V48" s="85"/>
      <c r="W48" s="95">
        <f>IF(K48&gt;0,K48*$X$2*$C48/1000,Q48*$Z$2*$C48/1000)</f>
        <v>35.395889502762429</v>
      </c>
      <c r="X48" s="95">
        <f>IF(L48&gt;0,L48*$X$2*$C48/1000,R48*$Z$2*$C48/1000)</f>
        <v>32.393417053433254</v>
      </c>
      <c r="Y48" s="95">
        <f t="shared" si="17"/>
        <v>31.779047619047617</v>
      </c>
      <c r="Z48" s="95">
        <f t="shared" si="17"/>
        <v>0</v>
      </c>
      <c r="AA48" s="95">
        <f t="shared" si="17"/>
        <v>0</v>
      </c>
      <c r="AB48" s="95">
        <f t="shared" si="17"/>
        <v>0</v>
      </c>
      <c r="AC48" t="s">
        <v>163</v>
      </c>
    </row>
    <row r="49" spans="1:29" x14ac:dyDescent="0.25">
      <c r="A49" s="92" t="s">
        <v>164</v>
      </c>
      <c r="B49" s="92">
        <f t="shared" si="0"/>
        <v>8187.12</v>
      </c>
      <c r="C49" s="93">
        <v>4093.56</v>
      </c>
      <c r="D49" s="82"/>
      <c r="E49" s="82"/>
      <c r="F49" s="82"/>
      <c r="G49" s="82"/>
      <c r="H49" s="82"/>
      <c r="I49" s="82"/>
      <c r="J49" s="82"/>
      <c r="K49" s="84"/>
      <c r="L49" s="84"/>
      <c r="M49" s="84"/>
      <c r="N49" s="84"/>
      <c r="O49" s="84"/>
      <c r="P49" s="84"/>
      <c r="Q49" s="85"/>
      <c r="R49" s="85"/>
      <c r="S49" s="85"/>
      <c r="T49" s="85"/>
      <c r="U49" s="85"/>
      <c r="V49" s="85"/>
      <c r="W49" s="97"/>
      <c r="X49" s="97"/>
      <c r="Y49" s="97"/>
      <c r="Z49" s="97"/>
      <c r="AA49" s="97"/>
      <c r="AB49" s="97"/>
    </row>
    <row r="50" spans="1:29" x14ac:dyDescent="0.25">
      <c r="A50" s="92" t="s">
        <v>96</v>
      </c>
      <c r="B50" s="92">
        <f t="shared" si="0"/>
        <v>1123.72</v>
      </c>
      <c r="C50" s="93">
        <v>561.86</v>
      </c>
      <c r="D50" s="82">
        <v>4.5999999999999996</v>
      </c>
      <c r="E50" s="82">
        <v>128</v>
      </c>
      <c r="F50" s="82">
        <v>46</v>
      </c>
      <c r="G50" s="82">
        <v>219</v>
      </c>
      <c r="H50" s="82">
        <v>27</v>
      </c>
      <c r="I50" s="82">
        <v>22</v>
      </c>
      <c r="J50" s="82">
        <v>19</v>
      </c>
      <c r="K50" s="96">
        <f>E50/$D50</f>
        <v>27.826086956521742</v>
      </c>
      <c r="L50" s="96">
        <f t="shared" ref="L50:P52" si="19">F50/$D50</f>
        <v>10</v>
      </c>
      <c r="M50" s="96">
        <f t="shared" si="19"/>
        <v>47.608695652173914</v>
      </c>
      <c r="N50" s="96">
        <f t="shared" si="19"/>
        <v>5.8695652173913047</v>
      </c>
      <c r="O50" s="96">
        <f t="shared" si="19"/>
        <v>4.7826086956521747</v>
      </c>
      <c r="P50" s="96">
        <f t="shared" si="19"/>
        <v>4.1304347826086962</v>
      </c>
      <c r="Q50" s="85"/>
      <c r="R50" s="85"/>
      <c r="S50" s="85"/>
      <c r="T50" s="85"/>
      <c r="U50" s="85"/>
      <c r="V50" s="85"/>
      <c r="W50" s="97">
        <f t="shared" ref="W50:AB53" si="20">IF(K50&gt;0,K50*$X$2*$C50/1000,Q50*$Z$2*$C50/1000)</f>
        <v>62.53746086956523</v>
      </c>
      <c r="X50" s="97">
        <f t="shared" si="20"/>
        <v>22.474400000000003</v>
      </c>
      <c r="Y50" s="97">
        <f t="shared" si="20"/>
        <v>106.99768695652175</v>
      </c>
      <c r="Z50" s="97">
        <f t="shared" si="20"/>
        <v>13.191495652173913</v>
      </c>
      <c r="AA50" s="97">
        <f t="shared" si="20"/>
        <v>10.748626086956524</v>
      </c>
      <c r="AB50" s="97">
        <f t="shared" si="20"/>
        <v>9.2829043478260882</v>
      </c>
    </row>
    <row r="51" spans="1:29" x14ac:dyDescent="0.25">
      <c r="A51" s="92" t="s">
        <v>103</v>
      </c>
      <c r="B51" s="92">
        <f t="shared" si="0"/>
        <v>5936.4800000000005</v>
      </c>
      <c r="C51" s="93">
        <v>2968.2400000000002</v>
      </c>
      <c r="D51" s="98">
        <v>3.5</v>
      </c>
      <c r="E51" s="98">
        <v>131</v>
      </c>
      <c r="F51" s="98">
        <v>87</v>
      </c>
      <c r="G51" s="98">
        <v>385</v>
      </c>
      <c r="H51" s="98"/>
      <c r="I51" s="98"/>
      <c r="J51" s="98"/>
      <c r="K51" s="95">
        <f>E51/$D51</f>
        <v>37.428571428571431</v>
      </c>
      <c r="L51" s="95">
        <f t="shared" si="19"/>
        <v>24.857142857142858</v>
      </c>
      <c r="M51" s="95">
        <f t="shared" si="19"/>
        <v>110</v>
      </c>
      <c r="N51" s="95">
        <f t="shared" si="19"/>
        <v>0</v>
      </c>
      <c r="O51" s="95">
        <f t="shared" si="19"/>
        <v>0</v>
      </c>
      <c r="P51" s="95">
        <f t="shared" si="19"/>
        <v>0</v>
      </c>
      <c r="Q51" s="85"/>
      <c r="R51" s="85"/>
      <c r="S51" s="85"/>
      <c r="T51" s="85"/>
      <c r="U51" s="85"/>
      <c r="V51" s="85"/>
      <c r="W51" s="95">
        <f t="shared" si="20"/>
        <v>444.38793142857145</v>
      </c>
      <c r="X51" s="95">
        <f t="shared" si="20"/>
        <v>295.12786285714287</v>
      </c>
      <c r="Y51" s="95">
        <f t="shared" si="20"/>
        <v>1306.0256000000002</v>
      </c>
      <c r="Z51" s="97"/>
      <c r="AA51" s="97"/>
      <c r="AB51" s="97"/>
    </row>
    <row r="52" spans="1:29" x14ac:dyDescent="0.25">
      <c r="A52" s="9" t="s">
        <v>70</v>
      </c>
      <c r="B52" s="92">
        <f t="shared" si="0"/>
        <v>2041.6</v>
      </c>
      <c r="C52" s="93">
        <v>1020.8</v>
      </c>
      <c r="D52" s="82">
        <v>9.5</v>
      </c>
      <c r="E52" s="82">
        <v>191</v>
      </c>
      <c r="F52" s="82">
        <v>89</v>
      </c>
      <c r="G52" s="82">
        <v>235</v>
      </c>
      <c r="H52" s="82">
        <v>21</v>
      </c>
      <c r="I52" s="82">
        <v>57</v>
      </c>
      <c r="J52" s="82">
        <v>73</v>
      </c>
      <c r="K52" s="96">
        <f>E52/$D52</f>
        <v>20.105263157894736</v>
      </c>
      <c r="L52" s="96">
        <f t="shared" si="19"/>
        <v>9.3684210526315788</v>
      </c>
      <c r="M52" s="96">
        <f t="shared" si="19"/>
        <v>24.736842105263158</v>
      </c>
      <c r="N52" s="96">
        <f t="shared" si="19"/>
        <v>2.2105263157894739</v>
      </c>
      <c r="O52" s="96">
        <f t="shared" si="19"/>
        <v>6</v>
      </c>
      <c r="P52" s="96">
        <f t="shared" si="19"/>
        <v>7.6842105263157894</v>
      </c>
      <c r="Q52" s="85"/>
      <c r="R52" s="85"/>
      <c r="S52" s="85"/>
      <c r="T52" s="85"/>
      <c r="U52" s="85"/>
      <c r="V52" s="85"/>
      <c r="W52" s="97">
        <f t="shared" si="20"/>
        <v>82.093810526315778</v>
      </c>
      <c r="X52" s="97">
        <f t="shared" si="20"/>
        <v>38.253136842105263</v>
      </c>
      <c r="Y52" s="97">
        <f t="shared" si="20"/>
        <v>101.00547368421051</v>
      </c>
      <c r="Z52" s="97">
        <f t="shared" si="20"/>
        <v>9.0260210526315792</v>
      </c>
      <c r="AA52" s="97">
        <f t="shared" si="20"/>
        <v>24.499199999999998</v>
      </c>
      <c r="AB52" s="97">
        <f t="shared" si="20"/>
        <v>31.376168421052629</v>
      </c>
      <c r="AC52" t="s">
        <v>165</v>
      </c>
    </row>
    <row r="53" spans="1:29" x14ac:dyDescent="0.25">
      <c r="A53" s="9" t="s">
        <v>166</v>
      </c>
      <c r="B53" s="92">
        <f t="shared" si="0"/>
        <v>971.2</v>
      </c>
      <c r="C53" s="93">
        <v>485.6</v>
      </c>
      <c r="D53" s="82"/>
      <c r="E53" s="82"/>
      <c r="F53" s="82"/>
      <c r="G53" s="82"/>
      <c r="H53" s="82"/>
      <c r="I53" s="82"/>
      <c r="J53" s="82"/>
      <c r="K53" s="98">
        <v>20</v>
      </c>
      <c r="L53" s="98">
        <v>11</v>
      </c>
      <c r="M53" s="98">
        <v>30</v>
      </c>
      <c r="N53" s="84"/>
      <c r="O53" s="84"/>
      <c r="P53" s="84"/>
      <c r="Q53" s="85"/>
      <c r="R53" s="85"/>
      <c r="S53" s="85"/>
      <c r="T53" s="85"/>
      <c r="U53" s="85"/>
      <c r="V53" s="85"/>
      <c r="W53" s="97">
        <f t="shared" si="20"/>
        <v>38.847999999999999</v>
      </c>
      <c r="X53" s="97">
        <f t="shared" si="20"/>
        <v>21.366400000000002</v>
      </c>
      <c r="Y53" s="97">
        <f t="shared" si="20"/>
        <v>58.271999999999998</v>
      </c>
      <c r="Z53" s="86"/>
      <c r="AA53" s="86"/>
      <c r="AB53" s="86"/>
      <c r="AC53" t="s">
        <v>71</v>
      </c>
    </row>
    <row r="54" spans="1:29" x14ac:dyDescent="0.25">
      <c r="A54" s="9"/>
      <c r="B54" s="92"/>
      <c r="C54" s="93"/>
      <c r="D54" s="82"/>
      <c r="E54" s="82"/>
      <c r="F54" s="82"/>
      <c r="G54" s="82"/>
      <c r="H54" s="82"/>
      <c r="I54" s="82"/>
      <c r="J54" s="82"/>
      <c r="K54" s="96"/>
      <c r="L54" s="96"/>
      <c r="M54" s="96"/>
      <c r="N54" s="96"/>
      <c r="O54" s="96"/>
      <c r="P54" s="96"/>
      <c r="Q54" s="85"/>
      <c r="R54" s="85"/>
      <c r="S54" s="85"/>
      <c r="T54" s="85"/>
      <c r="U54" s="85"/>
      <c r="V54" s="85"/>
      <c r="W54" s="97"/>
      <c r="X54" s="97"/>
      <c r="Y54" s="97"/>
      <c r="Z54" s="97"/>
      <c r="AA54" s="97"/>
      <c r="AB54" s="97"/>
    </row>
    <row r="55" spans="1:29" x14ac:dyDescent="0.25">
      <c r="A55" s="9"/>
      <c r="B55" s="92"/>
      <c r="C55" s="93"/>
      <c r="D55" s="82"/>
      <c r="E55" s="82"/>
      <c r="F55" s="82"/>
      <c r="G55" s="82"/>
      <c r="H55" s="82"/>
      <c r="I55" s="82"/>
      <c r="J55" s="82"/>
      <c r="K55" s="84"/>
      <c r="L55" s="84"/>
      <c r="M55" s="84"/>
      <c r="N55" s="84"/>
      <c r="O55" s="84"/>
      <c r="P55" s="84"/>
      <c r="Q55" s="85"/>
      <c r="R55" s="85"/>
      <c r="S55" s="85"/>
      <c r="T55" s="85"/>
      <c r="U55" s="85"/>
      <c r="V55" s="85"/>
      <c r="W55" s="86"/>
      <c r="X55" s="86"/>
      <c r="Y55" s="86"/>
      <c r="Z55" s="86"/>
      <c r="AA55" s="86"/>
      <c r="AB55" s="86"/>
    </row>
    <row r="56" spans="1:29" x14ac:dyDescent="0.25">
      <c r="I56" t="s">
        <v>240</v>
      </c>
    </row>
    <row r="57" spans="1:29" x14ac:dyDescent="0.25">
      <c r="I57" s="78" t="s">
        <v>139</v>
      </c>
      <c r="J57" s="78" t="s">
        <v>117</v>
      </c>
      <c r="K57" s="78" t="s">
        <v>140</v>
      </c>
      <c r="L57" s="78" t="s">
        <v>118</v>
      </c>
      <c r="M57" s="78" t="s">
        <v>11</v>
      </c>
    </row>
    <row r="58" spans="1:29" x14ac:dyDescent="0.25">
      <c r="A58" t="s">
        <v>212</v>
      </c>
      <c r="I58" s="78"/>
      <c r="J58" s="78"/>
      <c r="K58" s="78"/>
      <c r="L58" s="78"/>
      <c r="M58" s="78"/>
    </row>
    <row r="59" spans="1:29" x14ac:dyDescent="0.25">
      <c r="A59" s="45" t="s">
        <v>167</v>
      </c>
      <c r="B59" s="45" t="s">
        <v>139</v>
      </c>
      <c r="C59" s="78" t="s">
        <v>168</v>
      </c>
      <c r="D59" s="78" t="s">
        <v>140</v>
      </c>
      <c r="E59" s="78" t="s">
        <v>118</v>
      </c>
      <c r="F59" s="78" t="s">
        <v>141</v>
      </c>
      <c r="G59" s="78"/>
      <c r="H59" s="105"/>
      <c r="I59" s="106">
        <v>20.875</v>
      </c>
      <c r="J59" s="106">
        <v>18.678999999999998</v>
      </c>
      <c r="K59" s="106">
        <v>15.5</v>
      </c>
      <c r="L59" s="106">
        <v>1.677</v>
      </c>
      <c r="M59" s="107"/>
      <c r="N59" s="78"/>
      <c r="O59" s="78"/>
      <c r="P59" s="78"/>
      <c r="Q59" s="78"/>
      <c r="R59" s="78"/>
      <c r="S59" s="78"/>
      <c r="T59" s="78"/>
      <c r="U59" s="78"/>
      <c r="V59" s="78"/>
      <c r="W59" s="45"/>
      <c r="X59" s="45"/>
      <c r="Y59" s="45"/>
      <c r="Z59" s="45"/>
      <c r="AA59" s="45"/>
      <c r="AB59" s="45"/>
    </row>
    <row r="60" spans="1:29" x14ac:dyDescent="0.25">
      <c r="A60" s="77">
        <v>0.43502314814814813</v>
      </c>
      <c r="B60">
        <v>10</v>
      </c>
      <c r="C60" s="29">
        <v>26</v>
      </c>
      <c r="D60" s="29">
        <v>26</v>
      </c>
      <c r="E60" s="105">
        <v>30</v>
      </c>
      <c r="F60" s="78"/>
      <c r="G60" s="78"/>
      <c r="H60" s="105"/>
      <c r="I60" s="106">
        <f>B60*I$59</f>
        <v>208.75</v>
      </c>
      <c r="J60" s="106">
        <f>C60*J$59</f>
        <v>485.65399999999994</v>
      </c>
      <c r="K60" s="106">
        <f>D60*K$59</f>
        <v>403</v>
      </c>
      <c r="L60" s="106">
        <f>E60*L$59</f>
        <v>50.31</v>
      </c>
      <c r="M60" s="106">
        <f>I60+J60+K60+L60</f>
        <v>1147.7139999999999</v>
      </c>
    </row>
    <row r="61" spans="1:29" x14ac:dyDescent="0.25">
      <c r="A61" s="77">
        <v>0.63559027777777777</v>
      </c>
      <c r="B61">
        <v>15</v>
      </c>
      <c r="C61" s="29">
        <v>15</v>
      </c>
      <c r="D61" s="29">
        <v>15</v>
      </c>
      <c r="I61" s="106">
        <f t="shared" ref="I61:L68" si="21">B61*I$59</f>
        <v>313.125</v>
      </c>
      <c r="J61" s="106">
        <f t="shared" si="21"/>
        <v>280.185</v>
      </c>
      <c r="K61" s="106">
        <f t="shared" si="21"/>
        <v>232.5</v>
      </c>
      <c r="L61" s="106">
        <f t="shared" si="21"/>
        <v>0</v>
      </c>
      <c r="M61" s="106">
        <f t="shared" ref="M61:M68" si="22">I61+J61+K61+L61</f>
        <v>825.81</v>
      </c>
    </row>
    <row r="62" spans="1:29" x14ac:dyDescent="0.25">
      <c r="A62" s="77">
        <v>0.76261574074074068</v>
      </c>
      <c r="B62">
        <v>18</v>
      </c>
      <c r="C62" s="29">
        <v>18</v>
      </c>
      <c r="D62" s="29">
        <v>10</v>
      </c>
      <c r="I62" s="106">
        <f t="shared" si="21"/>
        <v>375.75</v>
      </c>
      <c r="J62" s="106">
        <f t="shared" si="21"/>
        <v>336.22199999999998</v>
      </c>
      <c r="K62" s="106">
        <f t="shared" si="21"/>
        <v>155</v>
      </c>
      <c r="L62" s="106">
        <f t="shared" si="21"/>
        <v>0</v>
      </c>
      <c r="M62" s="106">
        <f t="shared" si="22"/>
        <v>866.97199999999998</v>
      </c>
    </row>
    <row r="63" spans="1:29" x14ac:dyDescent="0.25">
      <c r="A63" s="77">
        <v>0.80508101851851854</v>
      </c>
      <c r="B63">
        <v>19</v>
      </c>
      <c r="C63" s="29">
        <v>19</v>
      </c>
      <c r="D63" s="29">
        <v>19</v>
      </c>
      <c r="I63" s="106">
        <f t="shared" si="21"/>
        <v>396.625</v>
      </c>
      <c r="J63" s="106">
        <f t="shared" si="21"/>
        <v>354.90099999999995</v>
      </c>
      <c r="K63" s="106">
        <f t="shared" si="21"/>
        <v>294.5</v>
      </c>
      <c r="L63" s="106">
        <f t="shared" si="21"/>
        <v>0</v>
      </c>
      <c r="M63" s="106">
        <f t="shared" si="22"/>
        <v>1046.0259999999998</v>
      </c>
    </row>
    <row r="64" spans="1:29" x14ac:dyDescent="0.25">
      <c r="A64" s="77">
        <v>0.84722222222222221</v>
      </c>
      <c r="B64">
        <v>20</v>
      </c>
      <c r="C64" s="29">
        <v>20</v>
      </c>
      <c r="D64" s="29">
        <v>0</v>
      </c>
      <c r="I64" s="106">
        <f t="shared" si="21"/>
        <v>417.5</v>
      </c>
      <c r="J64" s="106">
        <f t="shared" si="21"/>
        <v>373.58</v>
      </c>
      <c r="K64" s="106">
        <f t="shared" si="21"/>
        <v>0</v>
      </c>
      <c r="L64" s="106">
        <f t="shared" si="21"/>
        <v>0</v>
      </c>
      <c r="M64" s="106">
        <f t="shared" si="22"/>
        <v>791.07999999999993</v>
      </c>
    </row>
    <row r="65" spans="1:13" x14ac:dyDescent="0.25">
      <c r="A65" s="77" t="s">
        <v>237</v>
      </c>
      <c r="C65" s="29"/>
      <c r="D65" s="29"/>
      <c r="I65" s="106">
        <f t="shared" si="21"/>
        <v>0</v>
      </c>
      <c r="J65" s="106">
        <f t="shared" si="21"/>
        <v>0</v>
      </c>
      <c r="K65" s="106">
        <f t="shared" si="21"/>
        <v>0</v>
      </c>
      <c r="L65" s="106">
        <f t="shared" si="21"/>
        <v>0</v>
      </c>
      <c r="M65" s="106">
        <f t="shared" si="22"/>
        <v>0</v>
      </c>
    </row>
    <row r="66" spans="1:13" x14ac:dyDescent="0.25">
      <c r="A66" s="9" t="s">
        <v>169</v>
      </c>
      <c r="B66">
        <v>17</v>
      </c>
      <c r="C66" s="29">
        <v>17</v>
      </c>
      <c r="D66" s="29">
        <v>17</v>
      </c>
      <c r="I66" s="106">
        <f t="shared" si="21"/>
        <v>354.875</v>
      </c>
      <c r="J66" s="106">
        <f t="shared" si="21"/>
        <v>317.54299999999995</v>
      </c>
      <c r="K66" s="106">
        <f t="shared" si="21"/>
        <v>263.5</v>
      </c>
      <c r="L66" s="106">
        <f t="shared" si="21"/>
        <v>0</v>
      </c>
      <c r="M66" s="106">
        <f t="shared" si="22"/>
        <v>935.91799999999989</v>
      </c>
    </row>
    <row r="67" spans="1:13" x14ac:dyDescent="0.25">
      <c r="A67" s="77" t="s">
        <v>170</v>
      </c>
      <c r="B67">
        <v>0</v>
      </c>
      <c r="C67" s="29">
        <v>0</v>
      </c>
      <c r="D67" s="29">
        <v>0</v>
      </c>
      <c r="I67" s="106">
        <f t="shared" si="21"/>
        <v>0</v>
      </c>
      <c r="J67" s="106">
        <f t="shared" si="21"/>
        <v>0</v>
      </c>
      <c r="K67" s="106">
        <f t="shared" si="21"/>
        <v>0</v>
      </c>
      <c r="L67" s="106">
        <f t="shared" si="21"/>
        <v>0</v>
      </c>
      <c r="M67" s="106">
        <f t="shared" si="22"/>
        <v>0</v>
      </c>
    </row>
    <row r="68" spans="1:13" x14ac:dyDescent="0.25">
      <c r="A68" t="s">
        <v>105</v>
      </c>
      <c r="B68">
        <v>21</v>
      </c>
      <c r="C68" s="29">
        <v>23</v>
      </c>
      <c r="D68" s="29">
        <v>0</v>
      </c>
      <c r="I68" s="106">
        <f t="shared" si="21"/>
        <v>438.375</v>
      </c>
      <c r="J68" s="106">
        <f t="shared" si="21"/>
        <v>429.61699999999996</v>
      </c>
      <c r="K68" s="106">
        <f t="shared" si="21"/>
        <v>0</v>
      </c>
      <c r="L68" s="106">
        <f t="shared" si="21"/>
        <v>0</v>
      </c>
      <c r="M68" s="106">
        <f t="shared" si="22"/>
        <v>867.99199999999996</v>
      </c>
    </row>
    <row r="69" spans="1:13" x14ac:dyDescent="0.25">
      <c r="A69" t="s">
        <v>36</v>
      </c>
      <c r="B69">
        <v>0.95</v>
      </c>
      <c r="C69" s="29">
        <v>0.6</v>
      </c>
      <c r="D69" s="29">
        <v>1.1000000000000001</v>
      </c>
      <c r="F69" t="s">
        <v>171</v>
      </c>
      <c r="I69" s="106"/>
      <c r="J69" s="106"/>
      <c r="K69" s="106"/>
      <c r="L69" s="106"/>
      <c r="M69" s="106"/>
    </row>
    <row r="70" spans="1:13" x14ac:dyDescent="0.25">
      <c r="A70" t="s">
        <v>172</v>
      </c>
      <c r="B70">
        <v>0.75</v>
      </c>
      <c r="C70" s="29">
        <v>0.6</v>
      </c>
      <c r="D70" s="29">
        <v>1</v>
      </c>
      <c r="I70" s="106"/>
      <c r="J70" s="106"/>
      <c r="K70" s="106"/>
      <c r="L70" s="106"/>
      <c r="M70" s="106"/>
    </row>
    <row r="71" spans="1:13" x14ac:dyDescent="0.25">
      <c r="A71" t="s">
        <v>213</v>
      </c>
      <c r="B71">
        <v>0.45</v>
      </c>
      <c r="C71" s="29">
        <v>0.35</v>
      </c>
      <c r="D71" s="29">
        <v>0.35</v>
      </c>
      <c r="F71" t="s">
        <v>171</v>
      </c>
      <c r="G71" t="s">
        <v>173</v>
      </c>
      <c r="I71" s="106"/>
      <c r="J71" s="106"/>
      <c r="K71" s="106"/>
      <c r="L71" s="106"/>
      <c r="M71" s="106"/>
    </row>
    <row r="72" spans="1:13" x14ac:dyDescent="0.25">
      <c r="A72" t="s">
        <v>214</v>
      </c>
      <c r="B72">
        <v>0.6</v>
      </c>
      <c r="C72" s="29">
        <v>0.5</v>
      </c>
      <c r="D72" s="29">
        <v>0.2</v>
      </c>
      <c r="F72" t="s">
        <v>171</v>
      </c>
      <c r="I72" s="106"/>
      <c r="J72" s="106"/>
      <c r="K72" s="106"/>
      <c r="L72" s="106"/>
      <c r="M72" s="106"/>
    </row>
    <row r="73" spans="1:13" x14ac:dyDescent="0.25">
      <c r="A73" t="s">
        <v>215</v>
      </c>
      <c r="B73" s="80">
        <f>(B71+B72)/2</f>
        <v>0.52500000000000002</v>
      </c>
      <c r="C73" s="80">
        <f>(C71+C72)/2</f>
        <v>0.42499999999999999</v>
      </c>
      <c r="D73" s="80">
        <f>(D71+D72)/2</f>
        <v>0.27500000000000002</v>
      </c>
      <c r="I73" s="106"/>
      <c r="J73" s="106"/>
      <c r="K73" s="106"/>
      <c r="L73" s="106"/>
      <c r="M73" s="106"/>
    </row>
    <row r="74" spans="1:13" x14ac:dyDescent="0.25">
      <c r="A74" t="s">
        <v>216</v>
      </c>
      <c r="B74">
        <v>1.4</v>
      </c>
      <c r="C74" s="29">
        <v>1.6</v>
      </c>
      <c r="D74" s="29">
        <v>0.85</v>
      </c>
      <c r="F74" t="s">
        <v>174</v>
      </c>
      <c r="I74" s="106"/>
      <c r="J74" s="106"/>
      <c r="K74" s="106"/>
      <c r="L74" s="106"/>
      <c r="M74" s="106"/>
    </row>
    <row r="75" spans="1:13" x14ac:dyDescent="0.25">
      <c r="A75" t="s">
        <v>238</v>
      </c>
      <c r="C75" s="29"/>
      <c r="D75" s="29"/>
      <c r="I75" s="106"/>
      <c r="J75" s="106"/>
      <c r="K75" s="106"/>
      <c r="L75" s="106"/>
      <c r="M75" s="106"/>
    </row>
    <row r="76" spans="1:13" x14ac:dyDescent="0.25">
      <c r="A76" s="9" t="s">
        <v>175</v>
      </c>
      <c r="B76">
        <v>1.05</v>
      </c>
      <c r="C76" s="29">
        <v>0.112</v>
      </c>
      <c r="D76" s="29">
        <v>0.75</v>
      </c>
      <c r="I76" s="106"/>
      <c r="J76" s="106"/>
      <c r="K76" s="106"/>
      <c r="L76" s="106"/>
      <c r="M76" s="106"/>
    </row>
    <row r="77" spans="1:13" x14ac:dyDescent="0.25">
      <c r="A77" s="9" t="s">
        <v>176</v>
      </c>
      <c r="B77">
        <v>2.85</v>
      </c>
      <c r="C77" s="29">
        <v>0.36599999999999999</v>
      </c>
      <c r="D77" s="29">
        <v>1.6679999999999999</v>
      </c>
      <c r="I77" s="106"/>
      <c r="J77" s="106"/>
      <c r="K77" s="106"/>
      <c r="L77" s="106"/>
      <c r="M77" s="106"/>
    </row>
    <row r="78" spans="1:13" x14ac:dyDescent="0.25">
      <c r="A78" s="9" t="s">
        <v>177</v>
      </c>
      <c r="B78">
        <v>2.83</v>
      </c>
      <c r="C78" s="29">
        <v>0.54300000000000004</v>
      </c>
      <c r="D78" s="29">
        <v>1.736</v>
      </c>
      <c r="I78" s="106"/>
      <c r="J78" s="106"/>
      <c r="K78" s="106"/>
      <c r="L78" s="106"/>
      <c r="M78" s="106"/>
    </row>
    <row r="79" spans="1:13" x14ac:dyDescent="0.25">
      <c r="A79" s="9" t="s">
        <v>92</v>
      </c>
      <c r="B79">
        <v>1.96</v>
      </c>
      <c r="C79">
        <v>0.17299999999999999</v>
      </c>
      <c r="D79">
        <v>0.28000000000000003</v>
      </c>
      <c r="I79" s="106"/>
      <c r="J79" s="106"/>
      <c r="K79" s="106"/>
      <c r="L79" s="106"/>
      <c r="M79" s="106"/>
    </row>
    <row r="80" spans="1:13" x14ac:dyDescent="0.25">
      <c r="A80" s="9" t="s">
        <v>236</v>
      </c>
      <c r="B80">
        <v>2.29</v>
      </c>
      <c r="C80">
        <v>2.09</v>
      </c>
      <c r="D80">
        <v>2.3199999999999998</v>
      </c>
      <c r="E80" s="29">
        <v>11</v>
      </c>
      <c r="F80" s="29">
        <v>19</v>
      </c>
      <c r="I80" s="106"/>
      <c r="J80" s="106"/>
      <c r="K80" s="106"/>
      <c r="L80" s="106"/>
      <c r="M80" s="106"/>
    </row>
    <row r="81" spans="1:17" x14ac:dyDescent="0.25">
      <c r="A81" s="9" t="s">
        <v>106</v>
      </c>
      <c r="B81">
        <v>0</v>
      </c>
      <c r="C81">
        <v>0</v>
      </c>
      <c r="D81">
        <v>50</v>
      </c>
      <c r="I81" s="106">
        <f t="shared" ref="I81" si="23">B81*I$59</f>
        <v>0</v>
      </c>
      <c r="J81" s="106">
        <f t="shared" ref="J81" si="24">C81*J$59</f>
        <v>0</v>
      </c>
      <c r="K81" s="106">
        <f t="shared" ref="K81" si="25">D81*K$59</f>
        <v>775</v>
      </c>
      <c r="L81" s="106">
        <f t="shared" ref="L81" si="26">E81*L$59</f>
        <v>0</v>
      </c>
      <c r="M81" s="106">
        <f t="shared" ref="M81" si="27">I81+J81+K81+L81</f>
        <v>775</v>
      </c>
    </row>
    <row r="82" spans="1:17" x14ac:dyDescent="0.25">
      <c r="A82" s="9" t="s">
        <v>228</v>
      </c>
      <c r="B82">
        <v>5.2</v>
      </c>
      <c r="C82">
        <v>1</v>
      </c>
      <c r="D82">
        <v>1.4</v>
      </c>
    </row>
    <row r="83" spans="1:17" x14ac:dyDescent="0.25">
      <c r="A83" s="9" t="s">
        <v>178</v>
      </c>
      <c r="B83">
        <v>0</v>
      </c>
      <c r="C83" s="29">
        <v>8.8000000000000007</v>
      </c>
      <c r="D83" s="29">
        <v>0</v>
      </c>
      <c r="E83" s="29">
        <v>11</v>
      </c>
      <c r="F83" s="29">
        <v>19</v>
      </c>
      <c r="I83" s="106">
        <f t="shared" ref="I83" si="28">B83*I$59</f>
        <v>0</v>
      </c>
      <c r="J83" s="106">
        <f t="shared" ref="J83" si="29">C83*J$59</f>
        <v>164.37520000000001</v>
      </c>
      <c r="K83" s="106">
        <f t="shared" ref="K83" si="30">D83*K$59</f>
        <v>0</v>
      </c>
      <c r="L83" s="106">
        <f t="shared" ref="L83" si="31">E83*L$59</f>
        <v>18.446999999999999</v>
      </c>
      <c r="M83" s="106">
        <f t="shared" ref="M83" si="32">I83+J83+K83+L83</f>
        <v>182.82220000000001</v>
      </c>
    </row>
    <row r="84" spans="1:17" x14ac:dyDescent="0.25">
      <c r="A84" s="9" t="s">
        <v>99</v>
      </c>
      <c r="B84">
        <v>46</v>
      </c>
      <c r="C84" s="29">
        <v>0</v>
      </c>
      <c r="D84" s="29">
        <v>0</v>
      </c>
      <c r="M84" s="106">
        <v>1560</v>
      </c>
    </row>
    <row r="85" spans="1:17" x14ac:dyDescent="0.25">
      <c r="A85" s="9" t="s">
        <v>179</v>
      </c>
      <c r="B85">
        <v>0</v>
      </c>
      <c r="C85" s="29">
        <v>0</v>
      </c>
      <c r="D85" s="29">
        <v>0</v>
      </c>
    </row>
    <row r="86" spans="1:17" x14ac:dyDescent="0.25">
      <c r="A86" s="9" t="s">
        <v>180</v>
      </c>
      <c r="B86">
        <v>1.06</v>
      </c>
      <c r="C86" s="29">
        <v>0.60499999999999998</v>
      </c>
      <c r="D86" s="29">
        <v>0.44</v>
      </c>
    </row>
    <row r="87" spans="1:17" x14ac:dyDescent="0.25">
      <c r="A87" s="9" t="s">
        <v>181</v>
      </c>
      <c r="B87">
        <v>0</v>
      </c>
      <c r="C87" s="29">
        <v>0</v>
      </c>
      <c r="D87" s="29">
        <v>0</v>
      </c>
    </row>
    <row r="88" spans="1:17" x14ac:dyDescent="0.25">
      <c r="A88" s="9" t="s">
        <v>182</v>
      </c>
      <c r="B88">
        <v>0</v>
      </c>
      <c r="C88" s="29">
        <v>0</v>
      </c>
      <c r="D88" s="29">
        <v>0</v>
      </c>
    </row>
    <row r="89" spans="1:17" x14ac:dyDescent="0.25">
      <c r="A89" s="45" t="s">
        <v>114</v>
      </c>
      <c r="B89" t="s">
        <v>184</v>
      </c>
      <c r="C89" t="s">
        <v>185</v>
      </c>
      <c r="D89" t="s">
        <v>186</v>
      </c>
      <c r="E89" t="s">
        <v>187</v>
      </c>
    </row>
    <row r="90" spans="1:17" x14ac:dyDescent="0.25">
      <c r="A90" t="s">
        <v>115</v>
      </c>
      <c r="B90" s="80">
        <v>41.333333333333336</v>
      </c>
      <c r="C90" s="101">
        <f t="shared" ref="C90:C109" si="33">D90*D$111</f>
        <v>33.06666666666667</v>
      </c>
      <c r="D90" s="80">
        <f t="shared" ref="D90:D109" si="34">E90*B90</f>
        <v>16.533333333333335</v>
      </c>
      <c r="E90" s="80">
        <v>0.4</v>
      </c>
      <c r="F90" t="s">
        <v>188</v>
      </c>
      <c r="L90" s="29">
        <v>24.9</v>
      </c>
    </row>
    <row r="91" spans="1:17" x14ac:dyDescent="0.25">
      <c r="A91" t="s">
        <v>201</v>
      </c>
      <c r="B91" s="80">
        <v>0</v>
      </c>
      <c r="C91" s="101">
        <f t="shared" si="33"/>
        <v>0</v>
      </c>
      <c r="D91" s="80">
        <f t="shared" si="34"/>
        <v>0</v>
      </c>
      <c r="L91" s="29"/>
    </row>
    <row r="92" spans="1:17" x14ac:dyDescent="0.25">
      <c r="A92" t="s">
        <v>189</v>
      </c>
      <c r="B92" s="80">
        <v>55.7</v>
      </c>
      <c r="C92" s="101">
        <f t="shared" si="33"/>
        <v>33.42</v>
      </c>
      <c r="D92" s="80">
        <f t="shared" si="34"/>
        <v>16.71</v>
      </c>
      <c r="E92" s="80">
        <v>0.3</v>
      </c>
      <c r="F92" t="s">
        <v>190</v>
      </c>
      <c r="L92" s="29"/>
    </row>
    <row r="93" spans="1:17" x14ac:dyDescent="0.25">
      <c r="A93" t="s">
        <v>116</v>
      </c>
      <c r="B93" s="80">
        <v>28.4</v>
      </c>
      <c r="C93" s="101">
        <f t="shared" si="33"/>
        <v>28.4</v>
      </c>
      <c r="D93" s="80">
        <f t="shared" si="34"/>
        <v>14.2</v>
      </c>
      <c r="E93" s="80">
        <v>0.5</v>
      </c>
      <c r="F93" t="s">
        <v>191</v>
      </c>
      <c r="L93" s="29"/>
      <c r="Q93" s="9"/>
    </row>
    <row r="94" spans="1:17" x14ac:dyDescent="0.25">
      <c r="A94" t="s">
        <v>192</v>
      </c>
      <c r="B94" s="80">
        <v>7.7</v>
      </c>
      <c r="C94" s="101">
        <f t="shared" si="33"/>
        <v>7.7</v>
      </c>
      <c r="D94" s="80">
        <f t="shared" si="34"/>
        <v>3.85</v>
      </c>
      <c r="E94" s="80">
        <v>0.5</v>
      </c>
      <c r="F94" t="s">
        <v>188</v>
      </c>
      <c r="L94" s="29"/>
      <c r="Q94" s="9"/>
    </row>
    <row r="95" spans="1:17" x14ac:dyDescent="0.25">
      <c r="A95" t="s">
        <v>196</v>
      </c>
      <c r="B95" s="80">
        <v>35.333333333333336</v>
      </c>
      <c r="C95" s="101">
        <f t="shared" si="33"/>
        <v>11.306666666666668</v>
      </c>
      <c r="D95" s="80">
        <f t="shared" si="34"/>
        <v>5.6533333333333342</v>
      </c>
      <c r="E95">
        <v>0.16</v>
      </c>
      <c r="F95" t="s">
        <v>197</v>
      </c>
      <c r="L95" s="29">
        <v>2.8</v>
      </c>
      <c r="Q95" s="9"/>
    </row>
    <row r="96" spans="1:17" x14ac:dyDescent="0.25">
      <c r="A96" t="s">
        <v>193</v>
      </c>
      <c r="B96" s="80">
        <v>16.100000000000001</v>
      </c>
      <c r="C96" s="101">
        <f t="shared" si="33"/>
        <v>0.64400000000000002</v>
      </c>
      <c r="D96" s="80">
        <f t="shared" si="34"/>
        <v>0.32200000000000001</v>
      </c>
      <c r="E96" s="80">
        <v>0.02</v>
      </c>
      <c r="F96" t="s">
        <v>194</v>
      </c>
      <c r="L96" s="29">
        <v>11.9</v>
      </c>
      <c r="Q96" s="9"/>
    </row>
    <row r="97" spans="1:22" x14ac:dyDescent="0.25">
      <c r="A97" t="s">
        <v>238</v>
      </c>
      <c r="B97" s="80"/>
      <c r="C97" s="101"/>
      <c r="D97" s="80"/>
      <c r="E97" s="80"/>
      <c r="L97" s="29"/>
      <c r="Q97" s="9"/>
    </row>
    <row r="98" spans="1:22" x14ac:dyDescent="0.25">
      <c r="A98" t="s">
        <v>203</v>
      </c>
      <c r="B98">
        <v>100</v>
      </c>
      <c r="C98" s="101">
        <f t="shared" si="33"/>
        <v>0</v>
      </c>
      <c r="D98" s="80">
        <f t="shared" si="34"/>
        <v>0</v>
      </c>
      <c r="L98" s="29">
        <v>14.2</v>
      </c>
    </row>
    <row r="99" spans="1:22" x14ac:dyDescent="0.25">
      <c r="A99" t="s">
        <v>226</v>
      </c>
      <c r="C99" s="101"/>
      <c r="D99" s="80"/>
      <c r="L99" s="29"/>
    </row>
    <row r="100" spans="1:22" x14ac:dyDescent="0.25">
      <c r="A100" t="s">
        <v>195</v>
      </c>
      <c r="B100">
        <v>14</v>
      </c>
      <c r="C100" s="101">
        <f t="shared" si="33"/>
        <v>2.8000000000000003</v>
      </c>
      <c r="D100" s="80">
        <f t="shared" si="34"/>
        <v>1.4000000000000001</v>
      </c>
      <c r="E100">
        <v>0.1</v>
      </c>
      <c r="F100" t="s">
        <v>188</v>
      </c>
      <c r="G100" s="29"/>
      <c r="H100" s="29"/>
      <c r="I100" s="29"/>
      <c r="J100" s="29"/>
      <c r="K100" s="29"/>
      <c r="L100" s="29">
        <v>25</v>
      </c>
      <c r="M100" s="29"/>
      <c r="N100" s="29"/>
      <c r="O100" s="29"/>
      <c r="P100" s="29"/>
      <c r="Q100" s="29"/>
      <c r="R100" s="29"/>
      <c r="S100" s="29"/>
      <c r="T100" s="29"/>
      <c r="U100" s="29"/>
      <c r="V100" s="29"/>
    </row>
    <row r="101" spans="1:22" x14ac:dyDescent="0.25">
      <c r="A101" t="s">
        <v>199</v>
      </c>
      <c r="B101" s="80">
        <v>4.7</v>
      </c>
      <c r="C101" s="101">
        <f t="shared" si="33"/>
        <v>3.7600000000000002</v>
      </c>
      <c r="D101" s="80">
        <f t="shared" si="34"/>
        <v>1.8800000000000001</v>
      </c>
      <c r="E101">
        <v>0.4</v>
      </c>
      <c r="F101" t="s">
        <v>200</v>
      </c>
      <c r="L101" s="29">
        <v>1</v>
      </c>
    </row>
    <row r="102" spans="1:22" x14ac:dyDescent="0.25">
      <c r="A102" t="s">
        <v>104</v>
      </c>
      <c r="B102" s="80">
        <v>40</v>
      </c>
      <c r="C102" s="101">
        <f t="shared" si="33"/>
        <v>40</v>
      </c>
      <c r="D102" s="80">
        <f t="shared" si="34"/>
        <v>20</v>
      </c>
      <c r="E102" s="29">
        <v>0.5</v>
      </c>
      <c r="F102" t="s">
        <v>188</v>
      </c>
      <c r="G102" s="29"/>
      <c r="H102" s="29"/>
      <c r="I102" s="29"/>
      <c r="J102" s="29"/>
      <c r="K102" s="29"/>
      <c r="L102" s="29">
        <v>15</v>
      </c>
      <c r="M102" s="29"/>
      <c r="N102" s="29"/>
      <c r="O102" s="29"/>
      <c r="P102" s="29"/>
      <c r="Q102" s="29"/>
      <c r="R102" s="29"/>
      <c r="S102" s="29"/>
      <c r="T102" s="29"/>
      <c r="U102" s="29"/>
      <c r="V102" s="29"/>
    </row>
    <row r="103" spans="1:22" x14ac:dyDescent="0.25">
      <c r="A103" t="s">
        <v>239</v>
      </c>
      <c r="B103" s="80"/>
      <c r="C103" s="101"/>
      <c r="D103" s="80"/>
      <c r="E103" s="29"/>
      <c r="G103" s="29"/>
      <c r="H103" s="29"/>
      <c r="I103" s="29"/>
      <c r="J103" s="29"/>
      <c r="K103" s="29"/>
      <c r="L103" s="29"/>
      <c r="M103" s="29"/>
      <c r="N103" s="29"/>
      <c r="O103" s="29"/>
      <c r="P103" s="29"/>
      <c r="Q103" s="29"/>
      <c r="R103" s="29"/>
      <c r="S103" s="29"/>
      <c r="T103" s="29"/>
      <c r="U103" s="29"/>
      <c r="V103" s="29"/>
    </row>
    <row r="104" spans="1:22" x14ac:dyDescent="0.25">
      <c r="A104" t="s">
        <v>230</v>
      </c>
      <c r="B104" s="80"/>
      <c r="C104" s="101"/>
      <c r="D104" s="80"/>
      <c r="E104" s="29"/>
      <c r="G104" s="29"/>
      <c r="H104" s="29"/>
      <c r="I104" s="29"/>
      <c r="J104" s="29"/>
      <c r="K104" s="29"/>
      <c r="L104" s="29"/>
      <c r="M104" s="29"/>
      <c r="N104" s="29"/>
      <c r="O104" s="29"/>
      <c r="P104" s="29"/>
      <c r="Q104" s="29"/>
      <c r="R104" s="29"/>
      <c r="S104" s="29"/>
      <c r="T104" s="29"/>
      <c r="U104" s="29"/>
      <c r="V104" s="29"/>
    </row>
    <row r="105" spans="1:22" x14ac:dyDescent="0.25">
      <c r="A105" t="s">
        <v>229</v>
      </c>
      <c r="B105" s="80"/>
      <c r="C105" s="101"/>
      <c r="D105" s="80"/>
      <c r="E105" s="29"/>
      <c r="G105" s="29"/>
      <c r="H105" s="29"/>
      <c r="I105" s="29"/>
      <c r="J105" s="29"/>
      <c r="K105" s="29"/>
      <c r="L105" s="29"/>
      <c r="M105" s="29"/>
      <c r="N105" s="29"/>
      <c r="O105" s="29"/>
      <c r="P105" s="29"/>
      <c r="Q105" s="29"/>
      <c r="R105" s="29"/>
      <c r="S105" s="29"/>
      <c r="T105" s="29"/>
      <c r="U105" s="29"/>
      <c r="V105" s="29"/>
    </row>
    <row r="106" spans="1:22" x14ac:dyDescent="0.25">
      <c r="A106" t="s">
        <v>107</v>
      </c>
      <c r="B106">
        <v>22.8</v>
      </c>
      <c r="C106" s="101">
        <f t="shared" si="33"/>
        <v>11.4</v>
      </c>
      <c r="D106" s="80">
        <f t="shared" si="34"/>
        <v>5.7</v>
      </c>
      <c r="E106">
        <v>0.25</v>
      </c>
      <c r="F106" t="s">
        <v>198</v>
      </c>
      <c r="L106" s="29">
        <v>20</v>
      </c>
    </row>
    <row r="107" spans="1:22" x14ac:dyDescent="0.25">
      <c r="A107" t="s">
        <v>232</v>
      </c>
      <c r="C107" s="101"/>
      <c r="D107" s="80"/>
      <c r="L107" s="29"/>
    </row>
    <row r="108" spans="1:22" x14ac:dyDescent="0.25">
      <c r="A108" t="s">
        <v>235</v>
      </c>
      <c r="C108" s="101"/>
      <c r="D108" s="80"/>
      <c r="L108" s="29"/>
    </row>
    <row r="109" spans="1:22" x14ac:dyDescent="0.25">
      <c r="A109" t="s">
        <v>202</v>
      </c>
      <c r="B109" s="80">
        <v>10</v>
      </c>
      <c r="C109" s="101">
        <f t="shared" si="33"/>
        <v>0</v>
      </c>
      <c r="D109" s="80">
        <f t="shared" si="34"/>
        <v>0</v>
      </c>
      <c r="E109" s="29"/>
      <c r="F109" s="29"/>
      <c r="G109" s="29"/>
      <c r="H109" s="29"/>
      <c r="I109" s="29"/>
      <c r="J109" s="29"/>
      <c r="K109" s="29"/>
      <c r="L109" s="29">
        <v>15</v>
      </c>
      <c r="M109" s="29"/>
      <c r="N109" s="29"/>
      <c r="O109" s="29"/>
      <c r="P109" s="29"/>
      <c r="Q109" s="29"/>
      <c r="R109" s="29"/>
      <c r="S109" s="29"/>
      <c r="T109" s="29"/>
      <c r="U109" s="29"/>
      <c r="V109" s="29"/>
    </row>
    <row r="110" spans="1:22" x14ac:dyDescent="0.25">
      <c r="B110" s="80"/>
      <c r="C110" s="101"/>
      <c r="D110" s="80"/>
      <c r="E110" s="29"/>
      <c r="F110" s="29"/>
      <c r="G110" s="29"/>
      <c r="H110" s="29"/>
      <c r="I110" s="29"/>
      <c r="J110" s="29"/>
      <c r="K110" s="29"/>
      <c r="L110" s="29"/>
      <c r="M110" s="29"/>
      <c r="N110" s="29"/>
      <c r="O110" s="29"/>
      <c r="P110" s="29"/>
      <c r="Q110" s="29"/>
      <c r="R110" s="29"/>
      <c r="S110" s="29"/>
      <c r="T110" s="29"/>
      <c r="U110" s="29"/>
      <c r="V110" s="29"/>
    </row>
    <row r="111" spans="1:22" x14ac:dyDescent="0.25">
      <c r="C111" s="29" t="s">
        <v>183</v>
      </c>
      <c r="D111" s="100">
        <v>2</v>
      </c>
    </row>
    <row r="114" spans="1:29" x14ac:dyDescent="0.25">
      <c r="A114" s="45" t="s">
        <v>402</v>
      </c>
      <c r="W114">
        <v>23</v>
      </c>
      <c r="X114">
        <v>24</v>
      </c>
      <c r="Y114">
        <v>25</v>
      </c>
      <c r="Z114">
        <v>26</v>
      </c>
      <c r="AA114">
        <v>27</v>
      </c>
      <c r="AB114">
        <v>28</v>
      </c>
      <c r="AC114">
        <v>29</v>
      </c>
    </row>
    <row r="115" spans="1:29" x14ac:dyDescent="0.25">
      <c r="B115" t="s">
        <v>317</v>
      </c>
      <c r="C115" t="s">
        <v>318</v>
      </c>
      <c r="D115" t="s">
        <v>319</v>
      </c>
      <c r="I115" t="s">
        <v>320</v>
      </c>
      <c r="P115" t="s">
        <v>305</v>
      </c>
      <c r="W115" t="s">
        <v>321</v>
      </c>
    </row>
    <row r="116" spans="1:29" x14ac:dyDescent="0.25">
      <c r="B116" t="s">
        <v>252</v>
      </c>
      <c r="E116" t="s">
        <v>322</v>
      </c>
      <c r="F116" t="s">
        <v>323</v>
      </c>
      <c r="G116" t="s">
        <v>324</v>
      </c>
      <c r="H116" t="s">
        <v>325</v>
      </c>
      <c r="I116" t="s">
        <v>15</v>
      </c>
      <c r="J116" t="s">
        <v>326</v>
      </c>
      <c r="K116" t="s">
        <v>327</v>
      </c>
      <c r="L116" t="s">
        <v>328</v>
      </c>
      <c r="M116" t="s">
        <v>329</v>
      </c>
      <c r="N116" t="s">
        <v>330</v>
      </c>
      <c r="O116" t="s">
        <v>331</v>
      </c>
      <c r="P116" t="s">
        <v>332</v>
      </c>
      <c r="Q116" t="s">
        <v>333</v>
      </c>
      <c r="R116" t="s">
        <v>253</v>
      </c>
      <c r="S116" t="s">
        <v>254</v>
      </c>
      <c r="T116" t="s">
        <v>255</v>
      </c>
      <c r="U116" t="s">
        <v>334</v>
      </c>
      <c r="W116" t="s">
        <v>335</v>
      </c>
      <c r="X116" t="s">
        <v>257</v>
      </c>
      <c r="Y116" t="s">
        <v>253</v>
      </c>
      <c r="Z116" t="s">
        <v>254</v>
      </c>
      <c r="AA116" t="s">
        <v>255</v>
      </c>
      <c r="AB116" t="s">
        <v>336</v>
      </c>
      <c r="AC116" t="s">
        <v>258</v>
      </c>
    </row>
    <row r="117" spans="1:29" x14ac:dyDescent="0.25">
      <c r="A117" t="s">
        <v>18</v>
      </c>
      <c r="B117" s="108">
        <v>46852.5</v>
      </c>
      <c r="C117" s="108">
        <v>50993.34</v>
      </c>
      <c r="D117" s="108">
        <v>59383.51</v>
      </c>
      <c r="E117" s="108">
        <f>(D117-C117)</f>
        <v>8390.1700000000055</v>
      </c>
      <c r="F117" s="108">
        <v>82111.95</v>
      </c>
      <c r="G117" s="108">
        <v>962.71</v>
      </c>
      <c r="H117" s="117">
        <v>54663.070000000007</v>
      </c>
      <c r="I117" s="118">
        <v>8390.19</v>
      </c>
      <c r="J117" s="118">
        <v>5974.76</v>
      </c>
      <c r="K117" s="118">
        <v>300.70999999999998</v>
      </c>
      <c r="L117" s="119">
        <f>I117+J117+K117</f>
        <v>14665.66</v>
      </c>
      <c r="M117" s="119">
        <f>H117-I117-J117-K117</f>
        <v>39997.410000000003</v>
      </c>
      <c r="N117" s="120">
        <v>24333.010000000002</v>
      </c>
      <c r="O117" s="80">
        <f>M117/H117</f>
        <v>0.73170808006209676</v>
      </c>
      <c r="P117" s="108">
        <f>H117/2.5</f>
        <v>21865.228000000003</v>
      </c>
      <c r="Q117" s="108">
        <f>M117/2.5</f>
        <v>15998.964000000002</v>
      </c>
      <c r="R117" s="108">
        <f>(F117+G117)/2.5</f>
        <v>33229.864000000001</v>
      </c>
      <c r="S117" s="108">
        <f>R117-Q117</f>
        <v>17230.900000000001</v>
      </c>
      <c r="T117" s="80">
        <f>R117/P117</f>
        <v>1.5197584036169207</v>
      </c>
      <c r="U117" s="80">
        <f>N117/H117</f>
        <v>0.44514532389051692</v>
      </c>
      <c r="W117" s="108">
        <f>P117*2</f>
        <v>43730.456000000006</v>
      </c>
      <c r="X117" s="108">
        <f>Q117*2</f>
        <v>31997.928000000004</v>
      </c>
      <c r="Y117" s="108">
        <f t="shared" ref="Y117:AB123" si="35">R117*2</f>
        <v>66459.728000000003</v>
      </c>
      <c r="Z117" s="108">
        <f t="shared" si="35"/>
        <v>34461.800000000003</v>
      </c>
      <c r="AA117" s="80">
        <f t="shared" si="35"/>
        <v>3.0395168072338414</v>
      </c>
      <c r="AB117" s="80">
        <f t="shared" si="35"/>
        <v>0.89029064778103384</v>
      </c>
      <c r="AC117" s="108">
        <f>(N117/2.5)*2</f>
        <v>19466.408000000003</v>
      </c>
    </row>
    <row r="118" spans="1:29" x14ac:dyDescent="0.25">
      <c r="A118" t="s">
        <v>69</v>
      </c>
      <c r="B118" s="108">
        <v>27874.17</v>
      </c>
      <c r="C118" s="108">
        <v>29924.76</v>
      </c>
      <c r="D118" s="108">
        <v>33441.089999999997</v>
      </c>
      <c r="E118" s="108">
        <f>(D118-C118)</f>
        <v>3516.3299999999981</v>
      </c>
      <c r="F118" s="108">
        <v>42251.87</v>
      </c>
      <c r="G118" s="108">
        <v>929.37</v>
      </c>
      <c r="H118" s="117">
        <v>30964.62</v>
      </c>
      <c r="I118" s="118">
        <v>3516.32</v>
      </c>
      <c r="J118" s="118">
        <v>2477.0700000000002</v>
      </c>
      <c r="K118" s="118">
        <v>294.52</v>
      </c>
      <c r="L118" s="119">
        <f>I118+J118+K118</f>
        <v>6287.91</v>
      </c>
      <c r="M118" s="119">
        <f>H118-I118-J118-K118</f>
        <v>24676.71</v>
      </c>
      <c r="N118" s="120">
        <v>10564.87</v>
      </c>
      <c r="O118" s="80">
        <f t="shared" ref="O118:O123" si="36">M118/H118</f>
        <v>0.79693243450105311</v>
      </c>
      <c r="P118" s="108">
        <f>H118/2.5</f>
        <v>12385.848</v>
      </c>
      <c r="Q118" s="108">
        <f>M118/2.5</f>
        <v>9870.6839999999993</v>
      </c>
      <c r="R118" s="108">
        <f>(F118+G118)/2.5</f>
        <v>17272.496000000003</v>
      </c>
      <c r="S118" s="108">
        <f>R118-Q118</f>
        <v>7401.8120000000035</v>
      </c>
      <c r="T118" s="80">
        <f>R118/P118</f>
        <v>1.3945347948723417</v>
      </c>
      <c r="U118" s="80">
        <f>N118/H118</f>
        <v>0.3411916568005679</v>
      </c>
      <c r="W118" s="108">
        <f t="shared" ref="W118:X123" si="37">P118*2</f>
        <v>24771.696</v>
      </c>
      <c r="X118" s="108">
        <f t="shared" si="37"/>
        <v>19741.367999999999</v>
      </c>
      <c r="Y118" s="108">
        <f t="shared" si="35"/>
        <v>34544.992000000006</v>
      </c>
      <c r="Z118" s="108">
        <f t="shared" si="35"/>
        <v>14803.624000000007</v>
      </c>
      <c r="AA118" s="80">
        <f t="shared" si="35"/>
        <v>2.7890695897446833</v>
      </c>
      <c r="AB118" s="80">
        <f t="shared" si="35"/>
        <v>0.6823833136011358</v>
      </c>
      <c r="AC118" s="108">
        <f t="shared" ref="AC118:AC123" si="38">(N118/2.5)*2</f>
        <v>8451.8960000000006</v>
      </c>
    </row>
    <row r="119" spans="1:29" x14ac:dyDescent="0.25">
      <c r="A119" t="s">
        <v>96</v>
      </c>
      <c r="B119" s="108">
        <v>30271.82</v>
      </c>
      <c r="C119" s="108">
        <v>32958.879999999997</v>
      </c>
      <c r="D119" s="108">
        <v>39252.129999999997</v>
      </c>
      <c r="E119" s="108">
        <f>(D119-C119)</f>
        <v>6293.25</v>
      </c>
      <c r="F119" s="108">
        <v>48655.02</v>
      </c>
      <c r="G119" s="108">
        <v>1847.45</v>
      </c>
      <c r="H119" s="119">
        <v>36208.499999999993</v>
      </c>
      <c r="I119" s="119">
        <v>6293.26</v>
      </c>
      <c r="J119" s="119">
        <v>1225.4100000000001</v>
      </c>
      <c r="K119" s="119">
        <v>897.43</v>
      </c>
      <c r="L119" s="119">
        <f>I119+J119+K119</f>
        <v>8416.1</v>
      </c>
      <c r="M119" s="119">
        <f>H119-I119-J119-K119</f>
        <v>27792.399999999991</v>
      </c>
      <c r="N119" s="119">
        <v>10881.71</v>
      </c>
      <c r="O119" s="80">
        <f t="shared" si="36"/>
        <v>0.7675656268555725</v>
      </c>
      <c r="P119" s="108">
        <f>H119/2.5</f>
        <v>14483.399999999998</v>
      </c>
      <c r="Q119" s="108">
        <f>M119/2.5</f>
        <v>11116.959999999995</v>
      </c>
      <c r="R119" s="108">
        <f>(F119+G119)/2.5</f>
        <v>20200.987999999998</v>
      </c>
      <c r="S119" s="108">
        <f>R119-Q119</f>
        <v>9084.0280000000021</v>
      </c>
      <c r="T119" s="80">
        <f>R119/P119</f>
        <v>1.3947683554966375</v>
      </c>
      <c r="U119" s="80">
        <f>N119/H119</f>
        <v>0.30052915751826231</v>
      </c>
      <c r="W119" s="108">
        <f t="shared" si="37"/>
        <v>28966.799999999996</v>
      </c>
      <c r="X119" s="108">
        <f t="shared" si="37"/>
        <v>22233.919999999991</v>
      </c>
      <c r="Y119" s="108">
        <f t="shared" si="35"/>
        <v>40401.975999999995</v>
      </c>
      <c r="Z119" s="108">
        <f t="shared" si="35"/>
        <v>18168.056000000004</v>
      </c>
      <c r="AA119" s="80">
        <f t="shared" si="35"/>
        <v>2.7895367109932749</v>
      </c>
      <c r="AB119" s="80">
        <f t="shared" si="35"/>
        <v>0.60105831503652463</v>
      </c>
      <c r="AC119" s="108">
        <f t="shared" si="38"/>
        <v>8705.3679999999986</v>
      </c>
    </row>
    <row r="120" spans="1:29" x14ac:dyDescent="0.25">
      <c r="A120" t="s">
        <v>91</v>
      </c>
      <c r="B120" s="108">
        <v>23831.03</v>
      </c>
      <c r="C120" s="108">
        <v>27491.89</v>
      </c>
      <c r="D120" s="108">
        <v>31390.58</v>
      </c>
      <c r="E120" s="108">
        <f>(D120-C120)</f>
        <v>3898.6900000000023</v>
      </c>
      <c r="F120" s="108">
        <v>41702</v>
      </c>
      <c r="G120" s="108">
        <v>1518.13</v>
      </c>
      <c r="H120" s="117">
        <v>27308.920000000002</v>
      </c>
      <c r="I120" s="118">
        <v>3898.69</v>
      </c>
      <c r="J120" s="118">
        <v>1732.95</v>
      </c>
      <c r="K120" s="118">
        <v>459.34</v>
      </c>
      <c r="L120" s="119">
        <f>I120+J120+K120</f>
        <v>6090.9800000000005</v>
      </c>
      <c r="M120" s="119">
        <f>H120-I120-J120-K120</f>
        <v>21217.940000000002</v>
      </c>
      <c r="N120" s="120">
        <v>10240.849999999999</v>
      </c>
      <c r="O120" s="80">
        <f t="shared" si="36"/>
        <v>0.77696005554229175</v>
      </c>
      <c r="P120" s="108">
        <f>H120/2.5</f>
        <v>10923.568000000001</v>
      </c>
      <c r="Q120" s="108">
        <f>M120/2.5</f>
        <v>8487.1760000000013</v>
      </c>
      <c r="R120" s="108">
        <f>(F120+G120)/2.5</f>
        <v>17288.052</v>
      </c>
      <c r="S120" s="108">
        <f>R120-Q120</f>
        <v>8800.8759999999984</v>
      </c>
      <c r="T120" s="80">
        <f>R120/P120</f>
        <v>1.58263783408498</v>
      </c>
      <c r="U120" s="80">
        <f>N120/H120</f>
        <v>0.37500018309036015</v>
      </c>
      <c r="W120" s="108">
        <f t="shared" si="37"/>
        <v>21847.136000000002</v>
      </c>
      <c r="X120" s="108">
        <f t="shared" si="37"/>
        <v>16974.352000000003</v>
      </c>
      <c r="Y120" s="108">
        <f t="shared" si="35"/>
        <v>34576.103999999999</v>
      </c>
      <c r="Z120" s="108">
        <f t="shared" si="35"/>
        <v>17601.751999999997</v>
      </c>
      <c r="AA120" s="80">
        <f t="shared" si="35"/>
        <v>3.1652756681699601</v>
      </c>
      <c r="AB120" s="80">
        <f t="shared" si="35"/>
        <v>0.7500003661807203</v>
      </c>
      <c r="AC120" s="108">
        <f t="shared" si="38"/>
        <v>8192.6799999999985</v>
      </c>
    </row>
    <row r="121" spans="1:29" x14ac:dyDescent="0.25">
      <c r="B121" s="108"/>
      <c r="C121" s="108"/>
      <c r="D121" s="108"/>
      <c r="E121" s="108"/>
      <c r="F121" s="108"/>
      <c r="G121" s="108"/>
      <c r="H121" s="119"/>
      <c r="I121" s="119"/>
      <c r="J121" s="119"/>
      <c r="K121" s="119"/>
      <c r="L121" s="119"/>
      <c r="M121" s="119"/>
      <c r="N121" s="119"/>
      <c r="O121" s="80"/>
      <c r="P121" s="108"/>
      <c r="Q121" s="108"/>
      <c r="R121" s="108"/>
      <c r="S121" s="108"/>
      <c r="T121" s="108"/>
      <c r="U121" s="80"/>
      <c r="W121" s="108"/>
      <c r="X121" s="108"/>
      <c r="Y121" s="108"/>
      <c r="Z121" s="108"/>
      <c r="AA121" s="80"/>
      <c r="AB121" s="80"/>
      <c r="AC121" s="108">
        <f t="shared" si="38"/>
        <v>0</v>
      </c>
    </row>
    <row r="122" spans="1:29" x14ac:dyDescent="0.25">
      <c r="A122" t="s">
        <v>1</v>
      </c>
      <c r="B122" s="108"/>
      <c r="C122" s="108"/>
      <c r="D122" s="108"/>
      <c r="E122" s="108"/>
      <c r="F122" s="108">
        <f>P122+23900</f>
        <v>68900</v>
      </c>
      <c r="G122" s="108"/>
      <c r="H122" s="119"/>
      <c r="I122" s="119"/>
      <c r="J122" s="119"/>
      <c r="K122" s="119"/>
      <c r="L122" s="119"/>
      <c r="M122" s="119"/>
      <c r="N122" s="119"/>
      <c r="O122" s="80"/>
      <c r="P122" s="108">
        <v>45000</v>
      </c>
      <c r="Q122" s="108">
        <f>P122*O123</f>
        <v>35930.716017849831</v>
      </c>
      <c r="R122" s="108">
        <f>(P122+S122)</f>
        <v>68900</v>
      </c>
      <c r="S122" s="108">
        <v>23900</v>
      </c>
      <c r="T122" s="80">
        <f>R122/P122</f>
        <v>1.5311111111111111</v>
      </c>
      <c r="U122" s="80"/>
      <c r="W122" s="108">
        <f t="shared" si="37"/>
        <v>90000</v>
      </c>
      <c r="X122" s="108">
        <f t="shared" si="37"/>
        <v>71861.432035699661</v>
      </c>
      <c r="Y122" s="108">
        <f t="shared" si="35"/>
        <v>137800</v>
      </c>
      <c r="Z122" s="108">
        <f t="shared" si="35"/>
        <v>47800</v>
      </c>
      <c r="AA122" s="80">
        <f t="shared" si="35"/>
        <v>3.0622222222222222</v>
      </c>
      <c r="AB122" s="80">
        <f>U123*2</f>
        <v>0.94200930602418032</v>
      </c>
      <c r="AC122" s="108">
        <f>(N123/2.5)*2</f>
        <v>20565.023999999998</v>
      </c>
    </row>
    <row r="123" spans="1:29" x14ac:dyDescent="0.25">
      <c r="A123" t="s">
        <v>71</v>
      </c>
      <c r="B123" s="108">
        <v>44467.03</v>
      </c>
      <c r="C123" s="108">
        <v>49152.98</v>
      </c>
      <c r="D123" s="108">
        <v>59753.56</v>
      </c>
      <c r="E123" s="108">
        <f>(D123-C123)</f>
        <v>10600.579999999994</v>
      </c>
      <c r="F123" s="108">
        <v>74408.08</v>
      </c>
      <c r="G123" s="108">
        <v>5364.28</v>
      </c>
      <c r="H123" s="117">
        <v>54577.549999999996</v>
      </c>
      <c r="I123" s="118">
        <v>10600.58</v>
      </c>
      <c r="J123" s="118">
        <v>104.57</v>
      </c>
      <c r="K123" s="118">
        <v>294.39</v>
      </c>
      <c r="L123" s="119">
        <f>I123+J123+K123</f>
        <v>10999.539999999999</v>
      </c>
      <c r="M123" s="119">
        <f>H123-I123-J123-K123</f>
        <v>43578.009999999995</v>
      </c>
      <c r="N123" s="118">
        <v>25706.28</v>
      </c>
      <c r="O123" s="80">
        <f t="shared" si="36"/>
        <v>0.79846035595221843</v>
      </c>
      <c r="P123" s="108">
        <f>H123/2.5</f>
        <v>21831.019999999997</v>
      </c>
      <c r="Q123" s="108">
        <f>M123/2.5</f>
        <v>17431.203999999998</v>
      </c>
      <c r="R123" s="108">
        <f>(F123+G123)/2.5</f>
        <v>31908.944</v>
      </c>
      <c r="S123" s="108">
        <f>R123-Q123</f>
        <v>14477.740000000002</v>
      </c>
      <c r="T123" s="80">
        <f>R123/P123</f>
        <v>1.4616332173210416</v>
      </c>
      <c r="U123" s="80">
        <f>N123/H123</f>
        <v>0.47100465301209016</v>
      </c>
      <c r="W123" s="108">
        <f t="shared" si="37"/>
        <v>43662.039999999994</v>
      </c>
      <c r="X123" s="108">
        <f t="shared" si="37"/>
        <v>34862.407999999996</v>
      </c>
      <c r="Y123" s="108">
        <f t="shared" si="35"/>
        <v>63817.887999999999</v>
      </c>
      <c r="Z123" s="108">
        <f t="shared" si="35"/>
        <v>28955.480000000003</v>
      </c>
      <c r="AA123" s="80">
        <f t="shared" si="35"/>
        <v>2.9232664346420831</v>
      </c>
      <c r="AB123" s="80">
        <f t="shared" si="35"/>
        <v>0.94200930602418032</v>
      </c>
      <c r="AC123" s="108">
        <f t="shared" si="38"/>
        <v>20565.023999999998</v>
      </c>
    </row>
  </sheetData>
  <sortState ref="A89:F103">
    <sortCondition ref="A88"/>
  </sortState>
  <dataValidations disablePrompts="1" count="3">
    <dataValidation type="list" allowBlank="1" showInputMessage="1" showErrorMessage="1" sqref="A60" xr:uid="{00000000-0002-0000-0300-000000000000}">
      <formula1>Fertilizer_input</formula1>
    </dataValidation>
    <dataValidation type="list" allowBlank="1" showInputMessage="1" showErrorMessage="1" sqref="A90" xr:uid="{00000000-0002-0000-0300-000001000000}">
      <formula1>Pesticide_input</formula1>
    </dataValidation>
    <dataValidation type="list" allowBlank="1" showInputMessage="1" showErrorMessage="1" sqref="A58" xr:uid="{00000000-0002-0000-0300-000002000000}">
      <formula1>Farm_input</formula1>
    </dataValidation>
  </dataValidation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69"/>
  <sheetViews>
    <sheetView topLeftCell="A44" workbookViewId="0">
      <selection activeCell="D65" sqref="D65"/>
    </sheetView>
  </sheetViews>
  <sheetFormatPr defaultRowHeight="15" x14ac:dyDescent="0.25"/>
  <cols>
    <col min="2" max="2" width="17" bestFit="1" customWidth="1"/>
    <col min="7" max="7" width="24.140625" bestFit="1" customWidth="1"/>
  </cols>
  <sheetData>
    <row r="1" spans="2:6" x14ac:dyDescent="0.25">
      <c r="B1" s="15" t="s">
        <v>22</v>
      </c>
    </row>
    <row r="2" spans="2:6" x14ac:dyDescent="0.25">
      <c r="B2" t="s">
        <v>4</v>
      </c>
    </row>
    <row r="3" spans="2:6" x14ac:dyDescent="0.25">
      <c r="B3" t="s">
        <v>5</v>
      </c>
    </row>
    <row r="4" spans="2:6" x14ac:dyDescent="0.25">
      <c r="B4" t="s">
        <v>33</v>
      </c>
    </row>
    <row r="5" spans="2:6" x14ac:dyDescent="0.25">
      <c r="B5" t="s">
        <v>93</v>
      </c>
    </row>
    <row r="6" spans="2:6" x14ac:dyDescent="0.25">
      <c r="B6" t="s">
        <v>6</v>
      </c>
    </row>
    <row r="7" spans="2:6" x14ac:dyDescent="0.25">
      <c r="B7" t="s">
        <v>23</v>
      </c>
    </row>
    <row r="8" spans="2:6" x14ac:dyDescent="0.25">
      <c r="B8" t="s">
        <v>102</v>
      </c>
    </row>
    <row r="9" spans="2:6" x14ac:dyDescent="0.25">
      <c r="B9" t="s">
        <v>7</v>
      </c>
    </row>
    <row r="10" spans="2:6" x14ac:dyDescent="0.25">
      <c r="B10" t="s">
        <v>8</v>
      </c>
    </row>
    <row r="11" spans="2:6" ht="26.25" x14ac:dyDescent="0.4">
      <c r="B11" t="s">
        <v>9</v>
      </c>
      <c r="F11" s="76" t="s">
        <v>90</v>
      </c>
    </row>
    <row r="12" spans="2:6" x14ac:dyDescent="0.25">
      <c r="B12" t="s">
        <v>67</v>
      </c>
    </row>
    <row r="14" spans="2:6" x14ac:dyDescent="0.25">
      <c r="B14" s="15" t="s">
        <v>39</v>
      </c>
    </row>
    <row r="15" spans="2:6" x14ac:dyDescent="0.25">
      <c r="B15" t="s">
        <v>38</v>
      </c>
    </row>
    <row r="16" spans="2:6" x14ac:dyDescent="0.25">
      <c r="B16" t="s">
        <v>13</v>
      </c>
    </row>
    <row r="18" spans="2:2" ht="30" x14ac:dyDescent="0.25">
      <c r="B18" s="15" t="s">
        <v>21</v>
      </c>
    </row>
    <row r="19" spans="2:2" x14ac:dyDescent="0.25">
      <c r="B19" s="29" t="s">
        <v>19</v>
      </c>
    </row>
    <row r="20" spans="2:2" x14ac:dyDescent="0.25">
      <c r="B20" s="29" t="s">
        <v>24</v>
      </c>
    </row>
    <row r="21" spans="2:2" x14ac:dyDescent="0.25">
      <c r="B21" s="29" t="s">
        <v>25</v>
      </c>
    </row>
    <row r="22" spans="2:2" x14ac:dyDescent="0.25">
      <c r="B22" s="29" t="s">
        <v>53</v>
      </c>
    </row>
    <row r="23" spans="2:2" x14ac:dyDescent="0.25">
      <c r="B23" s="29" t="s">
        <v>227</v>
      </c>
    </row>
    <row r="24" spans="2:2" x14ac:dyDescent="0.25">
      <c r="B24" s="29" t="s">
        <v>223</v>
      </c>
    </row>
    <row r="25" spans="2:2" x14ac:dyDescent="0.25">
      <c r="B25" s="29" t="s">
        <v>54</v>
      </c>
    </row>
    <row r="26" spans="2:2" x14ac:dyDescent="0.25">
      <c r="B26" s="29" t="s">
        <v>26</v>
      </c>
    </row>
    <row r="27" spans="2:2" x14ac:dyDescent="0.25">
      <c r="B27" s="29" t="s">
        <v>55</v>
      </c>
    </row>
    <row r="28" spans="2:2" x14ac:dyDescent="0.25">
      <c r="B28" s="29" t="s">
        <v>56</v>
      </c>
    </row>
    <row r="29" spans="2:2" x14ac:dyDescent="0.25">
      <c r="B29" s="29" t="s">
        <v>57</v>
      </c>
    </row>
    <row r="30" spans="2:2" x14ac:dyDescent="0.25">
      <c r="B30" s="29" t="s">
        <v>58</v>
      </c>
    </row>
    <row r="31" spans="2:2" x14ac:dyDescent="0.25">
      <c r="B31" s="29" t="s">
        <v>27</v>
      </c>
    </row>
    <row r="32" spans="2:2" x14ac:dyDescent="0.25">
      <c r="B32" s="29" t="s">
        <v>59</v>
      </c>
    </row>
    <row r="33" spans="2:2" x14ac:dyDescent="0.25">
      <c r="B33" s="29" t="s">
        <v>28</v>
      </c>
    </row>
    <row r="34" spans="2:2" x14ac:dyDescent="0.25">
      <c r="B34" s="29" t="s">
        <v>94</v>
      </c>
    </row>
    <row r="35" spans="2:2" x14ac:dyDescent="0.25">
      <c r="B35" s="29" t="s">
        <v>95</v>
      </c>
    </row>
    <row r="36" spans="2:2" x14ac:dyDescent="0.25">
      <c r="B36" s="29" t="s">
        <v>29</v>
      </c>
    </row>
    <row r="37" spans="2:2" x14ac:dyDescent="0.25">
      <c r="B37" s="29" t="s">
        <v>30</v>
      </c>
    </row>
    <row r="38" spans="2:2" x14ac:dyDescent="0.25">
      <c r="B38" s="29" t="s">
        <v>60</v>
      </c>
    </row>
    <row r="39" spans="2:2" x14ac:dyDescent="0.25">
      <c r="B39" s="29" t="s">
        <v>61</v>
      </c>
    </row>
    <row r="40" spans="2:2" x14ac:dyDescent="0.25">
      <c r="B40" s="29" t="s">
        <v>62</v>
      </c>
    </row>
    <row r="41" spans="2:2" x14ac:dyDescent="0.25">
      <c r="B41" s="29" t="s">
        <v>63</v>
      </c>
    </row>
    <row r="42" spans="2:2" x14ac:dyDescent="0.25">
      <c r="B42" s="29" t="s">
        <v>31</v>
      </c>
    </row>
    <row r="43" spans="2:2" x14ac:dyDescent="0.25">
      <c r="B43" s="29" t="s">
        <v>64</v>
      </c>
    </row>
    <row r="44" spans="2:2" x14ac:dyDescent="0.25">
      <c r="B44" s="29" t="s">
        <v>32</v>
      </c>
    </row>
    <row r="45" spans="2:2" x14ac:dyDescent="0.25">
      <c r="B45" s="29" t="s">
        <v>65</v>
      </c>
    </row>
    <row r="46" spans="2:2" x14ac:dyDescent="0.25">
      <c r="B46" s="29" t="s">
        <v>66</v>
      </c>
    </row>
    <row r="47" spans="2:2" x14ac:dyDescent="0.25">
      <c r="B47" s="29" t="s">
        <v>67</v>
      </c>
    </row>
    <row r="49" spans="2:2" x14ac:dyDescent="0.25">
      <c r="B49" s="45" t="s">
        <v>41</v>
      </c>
    </row>
    <row r="50" spans="2:2" x14ac:dyDescent="0.25">
      <c r="B50" t="s">
        <v>42</v>
      </c>
    </row>
    <row r="51" spans="2:2" x14ac:dyDescent="0.25">
      <c r="B51" t="s">
        <v>43</v>
      </c>
    </row>
    <row r="52" spans="2:2" x14ac:dyDescent="0.25">
      <c r="B52" t="s">
        <v>44</v>
      </c>
    </row>
    <row r="53" spans="2:2" x14ac:dyDescent="0.25">
      <c r="B53" t="s">
        <v>45</v>
      </c>
    </row>
    <row r="54" spans="2:2" x14ac:dyDescent="0.25">
      <c r="B54" t="s">
        <v>234</v>
      </c>
    </row>
    <row r="55" spans="2:2" x14ac:dyDescent="0.25">
      <c r="B55" t="s">
        <v>233</v>
      </c>
    </row>
    <row r="58" spans="2:2" x14ac:dyDescent="0.25">
      <c r="B58" s="45" t="s">
        <v>119</v>
      </c>
    </row>
    <row r="59" spans="2:2" x14ac:dyDescent="0.25">
      <c r="B59" t="s">
        <v>120</v>
      </c>
    </row>
    <row r="60" spans="2:2" x14ac:dyDescent="0.25">
      <c r="B60" t="s">
        <v>121</v>
      </c>
    </row>
    <row r="61" spans="2:2" x14ac:dyDescent="0.25">
      <c r="B61" t="s">
        <v>100</v>
      </c>
    </row>
    <row r="62" spans="2:2" x14ac:dyDescent="0.25">
      <c r="B62" t="s">
        <v>224</v>
      </c>
    </row>
    <row r="63" spans="2:2" x14ac:dyDescent="0.25">
      <c r="B63" t="s">
        <v>98</v>
      </c>
    </row>
    <row r="64" spans="2:2" x14ac:dyDescent="0.25">
      <c r="B64" t="s">
        <v>122</v>
      </c>
    </row>
    <row r="68" spans="2:2" x14ac:dyDescent="0.25">
      <c r="B68" s="77"/>
    </row>
    <row r="69" spans="2:2" x14ac:dyDescent="0.25">
      <c r="B69" s="77"/>
    </row>
  </sheetData>
  <sortState ref="B53:B88">
    <sortCondition ref="B88"/>
  </sortState>
  <dataValidations count="6">
    <dataValidation type="list" allowBlank="1" showInputMessage="1" showErrorMessage="1" sqref="B50" xr:uid="{00000000-0002-0000-0400-000000000000}">
      <formula1>Output</formula1>
    </dataValidation>
    <dataValidation type="list" allowBlank="1" showInputMessage="1" showErrorMessage="1" sqref="B19:B20" xr:uid="{00000000-0002-0000-0400-000001000000}">
      <formula1>Field_operation</formula1>
    </dataValidation>
    <dataValidation type="list" allowBlank="1" showInputMessage="1" showErrorMessage="1" sqref="B15:B17" xr:uid="{00000000-0002-0000-0400-000002000000}">
      <formula1>Maincrop</formula1>
    </dataValidation>
    <dataValidation type="list" allowBlank="1" showInputMessage="1" showErrorMessage="1" sqref="B2" xr:uid="{00000000-0002-0000-0400-000003000000}">
      <formula1>Processes</formula1>
    </dataValidation>
    <dataValidation type="list" allowBlank="1" showInputMessage="1" showErrorMessage="1" sqref="B68:B69" xr:uid="{00000000-0002-0000-0400-000004000000}">
      <formula1>Fertilizer_input</formula1>
    </dataValidation>
    <dataValidation type="list" allowBlank="1" showInputMessage="1" showErrorMessage="1" sqref="B70" xr:uid="{00000000-0002-0000-0400-000005000000}">
      <formula1>Pesticide_input</formula1>
    </dataValidation>
  </dataValidation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11</vt:i4>
      </vt:variant>
    </vt:vector>
  </HeadingPairs>
  <TitlesOfParts>
    <vt:vector size="16" baseType="lpstr">
      <vt:lpstr>Guidelines</vt:lpstr>
      <vt:lpstr>DATA ENTRY SHEET</vt:lpstr>
      <vt:lpstr>Sample</vt:lpstr>
      <vt:lpstr>References</vt:lpstr>
      <vt:lpstr>Drop downs</vt:lpstr>
      <vt:lpstr>Crop_name</vt:lpstr>
      <vt:lpstr>Farm_input</vt:lpstr>
      <vt:lpstr>Fertilizer_input</vt:lpstr>
      <vt:lpstr>Field_operation</vt:lpstr>
      <vt:lpstr>InputNature</vt:lpstr>
      <vt:lpstr>Maincrop</vt:lpstr>
      <vt:lpstr>Mech._Operation</vt:lpstr>
      <vt:lpstr>Operation</vt:lpstr>
      <vt:lpstr>Output</vt:lpstr>
      <vt:lpstr>Pesticide_input</vt:lpstr>
      <vt:lpstr>Processes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Siva Muthuprakash</dc:creator>
  <cp:lastModifiedBy>Siva Muthuprakash K M</cp:lastModifiedBy>
  <dcterms:created xsi:type="dcterms:W3CDTF">2014-11-15T05:11:34Z</dcterms:created>
  <dcterms:modified xsi:type="dcterms:W3CDTF">2018-11-03T17:55:06Z</dcterms:modified>
</cp:coreProperties>
</file>